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23595" windowHeight="14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Techint</author>
    <author>Mau</author>
  </authors>
  <commentList>
    <comment ref="L6" authorId="0">
      <text>
        <r>
          <rPr>
            <b/>
            <sz val="8"/>
            <rFont val="Tahoma"/>
            <family val="0"/>
          </rPr>
          <t>warning</t>
        </r>
      </text>
    </comment>
    <comment ref="L7" authorId="0">
      <text>
        <r>
          <rPr>
            <b/>
            <sz val="8"/>
            <rFont val="Tahoma"/>
            <family val="0"/>
          </rPr>
          <t>warning</t>
        </r>
      </text>
    </comment>
    <comment ref="L8" authorId="0">
      <text>
        <r>
          <rPr>
            <b/>
            <sz val="8"/>
            <rFont val="Tahoma"/>
            <family val="0"/>
          </rPr>
          <t>warning</t>
        </r>
      </text>
    </comment>
    <comment ref="E11" authorId="0">
      <text>
        <r>
          <rPr>
            <sz val="8"/>
            <rFont val="Tahoma"/>
            <family val="2"/>
          </rPr>
          <t>As=Seccion Armadura Traccionada
A's=Seccion Armadura Comprimida</t>
        </r>
      </text>
    </comment>
    <comment ref="E12" authorId="1">
      <text>
        <r>
          <rPr>
            <sz val="9"/>
            <rFont val="Tahoma"/>
            <family val="2"/>
          </rPr>
          <t>Seccion Total Acero</t>
        </r>
      </text>
    </comment>
    <comment ref="E13" authorId="1">
      <text>
        <r>
          <rPr>
            <sz val="9"/>
            <rFont val="Tahoma"/>
            <family val="2"/>
          </rPr>
          <t>Seccion total columna</t>
        </r>
      </text>
    </comment>
    <comment ref="E14" authorId="1">
      <text>
        <r>
          <rPr>
            <sz val="9"/>
            <rFont val="Arial"/>
            <family val="2"/>
          </rPr>
          <t>Cuantía Total:</t>
        </r>
        <r>
          <rPr>
            <b/>
            <sz val="9"/>
            <rFont val="Arial"/>
            <family val="2"/>
          </rPr>
          <t xml:space="preserve">
</t>
        </r>
        <r>
          <rPr>
            <sz val="9"/>
            <rFont val="Symbol"/>
            <family val="1"/>
          </rPr>
          <t>r</t>
        </r>
        <r>
          <rPr>
            <vertAlign val="subscript"/>
            <sz val="9"/>
            <rFont val="Tahoma"/>
            <family val="2"/>
          </rPr>
          <t>g</t>
        </r>
        <r>
          <rPr>
            <sz val="9"/>
            <rFont val="Tahoma"/>
            <family val="2"/>
          </rPr>
          <t>= Ast / Ag</t>
        </r>
      </text>
    </comment>
    <comment ref="G19" authorId="1">
      <text>
        <r>
          <rPr>
            <b/>
            <sz val="9"/>
            <rFont val="Tahoma"/>
            <family val="2"/>
          </rPr>
          <t xml:space="preserve">Separación Máxima entre estribos: </t>
        </r>
        <r>
          <rPr>
            <sz val="9"/>
            <rFont val="Tahoma"/>
            <family val="2"/>
          </rPr>
          <t>(s/ACI 7.10.5.)
Será el menor de los sig. Valores:
- 16 veces el diámetro de la armadura longitudinal
- 48 veces el diámetro de los estribos
- La menor dimensión de la columna</t>
        </r>
      </text>
    </comment>
    <comment ref="E22" authorId="0">
      <text>
        <r>
          <rPr>
            <sz val="8"/>
            <rFont val="Tahoma"/>
            <family val="2"/>
          </rPr>
          <t>Deformación armadura traccionada</t>
        </r>
      </text>
    </comment>
    <comment ref="F22" authorId="0">
      <text>
        <r>
          <rPr>
            <sz val="8"/>
            <rFont val="Tahoma"/>
            <family val="2"/>
          </rPr>
          <t>Tension Armadura Traccionada</t>
        </r>
      </text>
    </comment>
    <comment ref="H22" authorId="0">
      <text>
        <r>
          <rPr>
            <sz val="8"/>
            <rFont val="Tahoma"/>
            <family val="2"/>
          </rPr>
          <t>Deformacion Armadura Traccionada</t>
        </r>
      </text>
    </comment>
    <comment ref="I22" authorId="0">
      <text>
        <r>
          <rPr>
            <sz val="8"/>
            <rFont val="Tahoma"/>
            <family val="2"/>
          </rPr>
          <t>Tension Armadura comprimida</t>
        </r>
      </text>
    </comment>
    <comment ref="M22" authorId="0">
      <text>
        <r>
          <rPr>
            <sz val="8"/>
            <rFont val="Tahoma"/>
            <family val="2"/>
          </rPr>
          <t>Resistencia última nominal a Compresión</t>
        </r>
      </text>
    </comment>
    <comment ref="N22" authorId="0">
      <text>
        <r>
          <rPr>
            <sz val="8"/>
            <rFont val="Tahoma"/>
            <family val="2"/>
          </rPr>
          <t>Resistencia última nominal a Momento</t>
        </r>
      </text>
    </comment>
    <comment ref="P22" authorId="0">
      <text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= 0,65 para: Pn &gt; 0,10 f'c Ag 
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= 0,90 para: Pn &lt; 0
para 0 &lt; Pn &lt; 0,10 f'c Ag: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se interpola linealmente entre 0,65 y 0,90
</t>
        </r>
      </text>
    </comment>
    <comment ref="B24" authorId="0">
      <text>
        <r>
          <rPr>
            <sz val="8"/>
            <rFont val="Tahoma"/>
            <family val="2"/>
          </rPr>
          <t xml:space="preserve">(ACI 10.3.6.2)
Pn(max)=0,80 .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 xml:space="preserve"> . [0,85 f'c . (Ag-Ast) + fy . Ast]
donde: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>=0,65 por tratarse de falla controlada por compresión</t>
        </r>
      </text>
    </comment>
    <comment ref="B33" authorId="0">
      <text>
        <r>
          <rPr>
            <b/>
            <sz val="8"/>
            <rFont val="Tahoma"/>
            <family val="0"/>
          </rPr>
          <t xml:space="preserve">Falla Balanceada
</t>
        </r>
        <r>
          <rPr>
            <sz val="8"/>
            <rFont val="Symbol"/>
            <family val="1"/>
          </rPr>
          <t>e</t>
        </r>
        <r>
          <rPr>
            <sz val="8"/>
            <rFont val="Tahoma"/>
            <family val="0"/>
          </rPr>
          <t xml:space="preserve">c=0.003
</t>
        </r>
        <r>
          <rPr>
            <sz val="8"/>
            <rFont val="Symbol"/>
            <family val="1"/>
          </rPr>
          <t>e</t>
        </r>
        <r>
          <rPr>
            <sz val="8"/>
            <rFont val="Tahoma"/>
            <family val="0"/>
          </rPr>
          <t>s=fy/Es</t>
        </r>
      </text>
    </comment>
    <comment ref="C40" authorId="0">
      <text>
        <r>
          <rPr>
            <sz val="8"/>
            <rFont val="Tahoma"/>
            <family val="2"/>
          </rPr>
          <t>Se obtiene despejando c de la ecuación:
As. fy = 0,85 f'c . b1 . c . b + A's . eu . Es . (c-d')/c
Resolviendo cuadrática ax²+bx+c=0, donde:
a: 0,85 f'c . b1 . b
b: A's ec . Es - As . fy
c: -A's . ec . Es . d'</t>
        </r>
      </text>
    </comment>
  </commentList>
</comments>
</file>

<file path=xl/sharedStrings.xml><?xml version="1.0" encoding="utf-8"?>
<sst xmlns="http://schemas.openxmlformats.org/spreadsheetml/2006/main" count="87" uniqueCount="70">
  <si>
    <t>H_25</t>
  </si>
  <si>
    <t>MPa</t>
  </si>
  <si>
    <t>ADN420</t>
  </si>
  <si>
    <t>cm²</t>
  </si>
  <si>
    <t>d =</t>
  </si>
  <si>
    <t>h =</t>
  </si>
  <si>
    <t>b =</t>
  </si>
  <si>
    <t>cm</t>
  </si>
  <si>
    <t>Ag =</t>
  </si>
  <si>
    <t>d' =</t>
  </si>
  <si>
    <t>Ast =</t>
  </si>
  <si>
    <t>Es=</t>
  </si>
  <si>
    <t>Mpa</t>
  </si>
  <si>
    <t>Pn</t>
  </si>
  <si>
    <t>fs</t>
  </si>
  <si>
    <t>f's</t>
  </si>
  <si>
    <t>a</t>
  </si>
  <si>
    <t>Mn</t>
  </si>
  <si>
    <t>As.fs</t>
  </si>
  <si>
    <t>[T]</t>
  </si>
  <si>
    <t>[Mpa]</t>
  </si>
  <si>
    <t>A's.f's</t>
  </si>
  <si>
    <t>e</t>
  </si>
  <si>
    <t>[cm]</t>
  </si>
  <si>
    <t>c</t>
  </si>
  <si>
    <t>Hormigon</t>
  </si>
  <si>
    <t>Punto</t>
  </si>
  <si>
    <t>f</t>
  </si>
  <si>
    <t>∞</t>
  </si>
  <si>
    <t>[ T ]</t>
  </si>
  <si>
    <t>[Tm]</t>
  </si>
  <si>
    <t>P=0</t>
  </si>
  <si>
    <t>M=0</t>
  </si>
  <si>
    <t>Armadura Traccionada</t>
  </si>
  <si>
    <t>Armadura Comprimida</t>
  </si>
  <si>
    <t>Padm</t>
  </si>
  <si>
    <t>Pb</t>
  </si>
  <si>
    <t>Tracción Pura</t>
  </si>
  <si>
    <t>Pn(max) =</t>
  </si>
  <si>
    <t>Pn(adm) = 0,8.Pn(max) =</t>
  </si>
  <si>
    <t>C = 0.85 f'c.a.b</t>
  </si>
  <si>
    <t>HORMIGON:</t>
  </si>
  <si>
    <t>ACERO:</t>
  </si>
  <si>
    <t>Barras Laterales:</t>
  </si>
  <si>
    <t>Barras Extremas:</t>
  </si>
  <si>
    <t>Estribos:</t>
  </si>
  <si>
    <t>mm</t>
  </si>
  <si>
    <t>(@max:</t>
  </si>
  <si>
    <t>mm)</t>
  </si>
  <si>
    <r>
      <t>MATERIALES</t>
    </r>
    <r>
      <rPr>
        <sz val="10"/>
        <rFont val="Arial"/>
        <family val="2"/>
      </rPr>
      <t>:</t>
    </r>
  </si>
  <si>
    <r>
      <t>→ f'c</t>
    </r>
    <r>
      <rPr>
        <sz val="10"/>
        <rFont val="Arial"/>
        <family val="2"/>
      </rPr>
      <t xml:space="preserve"> =</t>
    </r>
  </si>
  <si>
    <r>
      <t>→ f</t>
    </r>
    <r>
      <rPr>
        <sz val="10"/>
        <rFont val="Arial"/>
        <family val="2"/>
      </rPr>
      <t>y =</t>
    </r>
  </si>
  <si>
    <r>
      <t>GEOMETRIA</t>
    </r>
    <r>
      <rPr>
        <sz val="10"/>
        <rFont val="Arial"/>
        <family val="2"/>
      </rPr>
      <t>:</t>
    </r>
  </si>
  <si>
    <r>
      <t>ARMADURA DE DISEÑO</t>
    </r>
    <r>
      <rPr>
        <sz val="10"/>
        <rFont val="Arial"/>
        <family val="2"/>
      </rPr>
      <t>:</t>
    </r>
  </si>
  <si>
    <r>
      <t>f</t>
    </r>
    <r>
      <rPr>
        <sz val="10"/>
        <rFont val="Arial"/>
        <family val="2"/>
      </rPr>
      <t>Pn</t>
    </r>
  </si>
  <si>
    <r>
      <t>f</t>
    </r>
    <r>
      <rPr>
        <sz val="10"/>
        <rFont val="Arial"/>
        <family val="2"/>
      </rPr>
      <t>Mn</t>
    </r>
  </si>
  <si>
    <t>As=A's =</t>
  </si>
  <si>
    <r>
      <t>e</t>
    </r>
    <r>
      <rPr>
        <vertAlign val="subscript"/>
        <sz val="10"/>
        <color indexed="55"/>
        <rFont val="Arial"/>
        <family val="2"/>
      </rPr>
      <t>c</t>
    </r>
    <r>
      <rPr>
        <sz val="10"/>
        <color indexed="55"/>
        <rFont val="Arial"/>
        <family val="2"/>
      </rPr>
      <t>=</t>
    </r>
  </si>
  <si>
    <r>
      <t>As</t>
    </r>
    <r>
      <rPr>
        <vertAlign val="subscript"/>
        <sz val="10"/>
        <color indexed="9"/>
        <rFont val="Arial"/>
        <family val="2"/>
      </rPr>
      <t>E</t>
    </r>
    <r>
      <rPr>
        <sz val="10"/>
        <color indexed="9"/>
        <rFont val="Arial"/>
        <family val="2"/>
      </rPr>
      <t>=</t>
    </r>
  </si>
  <si>
    <r>
      <t>As</t>
    </r>
    <r>
      <rPr>
        <vertAlign val="subscript"/>
        <sz val="10"/>
        <color indexed="9"/>
        <rFont val="Arial"/>
        <family val="2"/>
      </rPr>
      <t>L</t>
    </r>
    <r>
      <rPr>
        <sz val="10"/>
        <color indexed="9"/>
        <rFont val="Arial"/>
        <family val="2"/>
      </rPr>
      <t>=</t>
    </r>
  </si>
  <si>
    <r>
      <t>r</t>
    </r>
    <r>
      <rPr>
        <sz val="10"/>
        <color indexed="55"/>
        <rFont val="Arial"/>
        <family val="2"/>
      </rPr>
      <t>t =</t>
    </r>
  </si>
  <si>
    <r>
      <t>s</t>
    </r>
    <r>
      <rPr>
        <vertAlign val="subscript"/>
        <sz val="10"/>
        <color indexed="55"/>
        <rFont val="Arial"/>
        <family val="2"/>
      </rPr>
      <t>1</t>
    </r>
    <r>
      <rPr>
        <sz val="10"/>
        <color indexed="55"/>
        <rFont val="Arial"/>
        <family val="2"/>
      </rPr>
      <t xml:space="preserve"> =</t>
    </r>
  </si>
  <si>
    <r>
      <t>s</t>
    </r>
    <r>
      <rPr>
        <vertAlign val="subscript"/>
        <sz val="10"/>
        <color indexed="55"/>
        <rFont val="Arial"/>
        <family val="2"/>
      </rPr>
      <t>2</t>
    </r>
    <r>
      <rPr>
        <sz val="10"/>
        <color indexed="55"/>
        <rFont val="Arial"/>
        <family val="2"/>
      </rPr>
      <t xml:space="preserve"> =</t>
    </r>
  </si>
  <si>
    <r>
      <t>(</t>
    </r>
    <r>
      <rPr>
        <sz val="10"/>
        <rFont val="Symbol"/>
        <family val="1"/>
      </rPr>
      <t>b</t>
    </r>
    <r>
      <rPr>
        <sz val="10"/>
        <rFont val="Arial"/>
        <family val="0"/>
      </rPr>
      <t>1 =</t>
    </r>
  </si>
  <si>
    <r>
      <t>e</t>
    </r>
    <r>
      <rPr>
        <vertAlign val="subscript"/>
        <sz val="10"/>
        <rFont val="Arial"/>
        <family val="2"/>
      </rPr>
      <t>s</t>
    </r>
  </si>
  <si>
    <r>
      <t>e</t>
    </r>
    <r>
      <rPr>
        <sz val="10"/>
        <rFont val="Arial"/>
        <family val="2"/>
      </rPr>
      <t>'</t>
    </r>
    <r>
      <rPr>
        <vertAlign val="subscript"/>
        <sz val="10"/>
        <rFont val="Arial"/>
        <family val="2"/>
      </rPr>
      <t>s</t>
    </r>
  </si>
  <si>
    <r>
      <t>Pn</t>
    </r>
    <r>
      <rPr>
        <b/>
        <vertAlign val="subscript"/>
        <sz val="9"/>
        <rFont val="Arial"/>
        <family val="2"/>
      </rPr>
      <t>max</t>
    </r>
  </si>
  <si>
    <t>CARGAS DE DISEÑO:</t>
  </si>
  <si>
    <r>
      <t>Nu</t>
    </r>
    <r>
      <rPr>
        <sz val="10"/>
        <rFont val="Arial"/>
        <family val="2"/>
      </rPr>
      <t xml:space="preserve"> [t]</t>
    </r>
  </si>
  <si>
    <r>
      <t>Mu</t>
    </r>
    <r>
      <rPr>
        <sz val="10"/>
        <rFont val="Arial"/>
        <family val="2"/>
      </rPr>
      <t xml:space="preserve"> [tm]</t>
    </r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</si>
</sst>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\ &quot;#&quot;"/>
    <numFmt numFmtId="166" formatCode="&quot;→ ( &quot;0.00&quot; cm²)&quot;"/>
    <numFmt numFmtId="167" formatCode="&quot;#&quot;0&quot;@&quot;"/>
    <numFmt numFmtId="168" formatCode="&quot;→ ( &quot;0.00&quot; cm²/m)&quot;"/>
    <numFmt numFmtId="169" formatCode="0.0"/>
    <numFmt numFmtId="170" formatCode="0.0000"/>
    <numFmt numFmtId="171" formatCode="0\ &quot; #&quot;"/>
    <numFmt numFmtId="172" formatCode="0\ &quot; # &quot;"/>
    <numFmt numFmtId="173" formatCode="&quot;#&quot;General"/>
    <numFmt numFmtId="174" formatCode="[$-2C0A]dddd\,\ dd&quot; de &quot;mmmm&quot; de &quot;yyyy"/>
    <numFmt numFmtId="175" formatCode="[$-2C0A]hh:mm:ss\ AM/PM"/>
    <numFmt numFmtId="176" formatCode="0.00000"/>
    <numFmt numFmtId="177" formatCode="&quot;Pn(max):&quot;0.0"/>
    <numFmt numFmtId="178" formatCode="&quot;Mn=&quot;0.0"/>
    <numFmt numFmtId="179" formatCode="&quot;ØMn=&quot;0.0"/>
    <numFmt numFmtId="180" formatCode="&quot;øMn=&quot;0.0"/>
    <numFmt numFmtId="181" formatCode="&quot;øPn(max):&quot;0.0"/>
    <numFmt numFmtId="182" formatCode="&quot;øPn(adm):&quot;0.0"/>
    <numFmt numFmtId="183" formatCode="&quot;øPn:&quot;0.0"/>
    <numFmt numFmtId="184" formatCode="&quot;øMn: &quot;0.0"/>
    <numFmt numFmtId="185" formatCode="&quot;øPn: &quot;0.0"/>
    <numFmt numFmtId="186" formatCode="&quot;øPn(adm): &quot;0.0"/>
    <numFmt numFmtId="187" formatCode="&quot;øPn(max): &quot;0.0"/>
    <numFmt numFmtId="188" formatCode="General&quot;)&quot;"/>
    <numFmt numFmtId="189" formatCode="&quot;# &quot;General"/>
    <numFmt numFmtId="190" formatCode="&quot;@ &quot;General"/>
    <numFmt numFmtId="191" formatCode="General\)"/>
    <numFmt numFmtId="192" formatCode="General&quot; mm)&quot;"/>
  </numFmts>
  <fonts count="49">
    <font>
      <sz val="10"/>
      <name val="Arial"/>
      <family val="0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Symbol"/>
      <family val="1"/>
    </font>
    <font>
      <vertAlign val="subscript"/>
      <sz val="8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Arial"/>
      <family val="2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sz val="8.75"/>
      <color indexed="8"/>
      <name val="Arial"/>
      <family val="2"/>
    </font>
    <font>
      <sz val="11"/>
      <name val="Calibri"/>
      <family val="2"/>
    </font>
    <font>
      <sz val="8.75"/>
      <color indexed="8"/>
      <name val="Symbol"/>
      <family val="1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55"/>
      <name val="Arial"/>
      <family val="2"/>
    </font>
    <font>
      <vertAlign val="subscript"/>
      <sz val="10"/>
      <color indexed="55"/>
      <name val="Arial"/>
      <family val="2"/>
    </font>
    <font>
      <sz val="10"/>
      <color indexed="55"/>
      <name val="Arial Narrow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vertAlign val="subscript"/>
      <sz val="10"/>
      <color indexed="9"/>
      <name val="Arial"/>
      <family val="2"/>
    </font>
    <font>
      <sz val="10"/>
      <color indexed="55"/>
      <name val="Symbol"/>
      <family val="1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22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sz val="9"/>
      <color indexed="16"/>
      <name val="Arial"/>
      <family val="2"/>
    </font>
    <font>
      <sz val="9"/>
      <name val="Arial Narrow"/>
      <family val="2"/>
    </font>
    <font>
      <sz val="9"/>
      <color indexed="16"/>
      <name val="Arial"/>
      <family val="2"/>
    </font>
    <font>
      <b/>
      <sz val="9"/>
      <name val="Arial Narrow"/>
      <family val="2"/>
    </font>
    <font>
      <b/>
      <sz val="8"/>
      <name val="Tahoma"/>
      <family val="0"/>
    </font>
    <font>
      <sz val="8"/>
      <name val="Tahoma"/>
      <family val="2"/>
    </font>
    <font>
      <sz val="9"/>
      <name val="Tahoma"/>
      <family val="2"/>
    </font>
    <font>
      <sz val="9"/>
      <name val="Symbol"/>
      <family val="1"/>
    </font>
    <font>
      <vertAlign val="subscript"/>
      <sz val="9"/>
      <name val="Tahoma"/>
      <family val="2"/>
    </font>
    <font>
      <b/>
      <sz val="9"/>
      <name val="Tahoma"/>
      <family val="2"/>
    </font>
    <font>
      <sz val="8"/>
      <name val="Symbol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 inden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7" fillId="0" borderId="0" xfId="0" applyFont="1" applyAlignment="1">
      <alignment horizontal="left"/>
    </xf>
    <xf numFmtId="1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 applyProtection="1">
      <alignment horizontal="left" indent="1"/>
      <protection/>
    </xf>
    <xf numFmtId="0" fontId="2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>
      <alignment horizontal="left" indent="1"/>
    </xf>
    <xf numFmtId="0" fontId="26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 horizontal="right"/>
    </xf>
    <xf numFmtId="169" fontId="22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NumberFormat="1" applyFont="1" applyAlignment="1">
      <alignment/>
    </xf>
    <xf numFmtId="0" fontId="29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2" fillId="2" borderId="0" xfId="0" applyFont="1" applyFill="1" applyAlignment="1" applyProtection="1">
      <alignment/>
      <protection/>
    </xf>
    <xf numFmtId="0" fontId="30" fillId="0" borderId="0" xfId="0" applyFont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indent="1"/>
    </xf>
    <xf numFmtId="0" fontId="20" fillId="0" borderId="0" xfId="0" applyFont="1" applyAlignment="1" applyProtection="1">
      <alignment horizontal="right"/>
      <protection locked="0"/>
    </xf>
    <xf numFmtId="189" fontId="20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>
      <alignment/>
    </xf>
    <xf numFmtId="0" fontId="0" fillId="2" borderId="0" xfId="0" applyFont="1" applyFill="1" applyAlignment="1" applyProtection="1">
      <alignment vertical="center"/>
      <protection/>
    </xf>
    <xf numFmtId="0" fontId="31" fillId="0" borderId="0" xfId="0" applyFont="1" applyAlignment="1">
      <alignment horizontal="left"/>
    </xf>
    <xf numFmtId="189" fontId="20" fillId="0" borderId="0" xfId="0" applyNumberFormat="1" applyFont="1" applyAlignment="1" applyProtection="1">
      <alignment horizontal="right"/>
      <protection locked="0"/>
    </xf>
    <xf numFmtId="190" fontId="20" fillId="0" borderId="0" xfId="0" applyNumberFormat="1" applyFont="1" applyAlignment="1" applyProtection="1">
      <alignment horizontal="left"/>
      <protection locked="0"/>
    </xf>
    <xf numFmtId="0" fontId="22" fillId="0" borderId="0" xfId="0" applyNumberFormat="1" applyFont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left" indent="1"/>
    </xf>
    <xf numFmtId="188" fontId="0" fillId="3" borderId="2" xfId="0" applyNumberFormat="1" applyFont="1" applyFill="1" applyBorder="1" applyAlignment="1">
      <alignment horizontal="left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2" fillId="3" borderId="3" xfId="0" applyFont="1" applyFill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2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10" fontId="35" fillId="0" borderId="22" xfId="0" applyNumberFormat="1" applyFont="1" applyBorder="1" applyAlignment="1">
      <alignment horizontal="center"/>
    </xf>
    <xf numFmtId="169" fontId="35" fillId="0" borderId="22" xfId="0" applyNumberFormat="1" applyFont="1" applyBorder="1" applyAlignment="1">
      <alignment horizontal="center"/>
    </xf>
    <xf numFmtId="2" fontId="35" fillId="0" borderId="22" xfId="0" applyNumberFormat="1" applyFont="1" applyBorder="1" applyAlignment="1">
      <alignment horizontal="center"/>
    </xf>
    <xf numFmtId="0" fontId="34" fillId="0" borderId="20" xfId="0" applyFont="1" applyBorder="1" applyAlignment="1">
      <alignment horizontal="right"/>
    </xf>
    <xf numFmtId="169" fontId="35" fillId="0" borderId="8" xfId="0" applyNumberFormat="1" applyFont="1" applyBorder="1" applyAlignment="1">
      <alignment horizontal="center"/>
    </xf>
    <xf numFmtId="169" fontId="35" fillId="0" borderId="4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0" xfId="0" applyNumberFormat="1" applyFont="1" applyAlignment="1">
      <alignment horizontal="center"/>
    </xf>
    <xf numFmtId="169" fontId="37" fillId="0" borderId="8" xfId="0" applyNumberFormat="1" applyFont="1" applyBorder="1" applyAlignment="1">
      <alignment horizontal="center"/>
    </xf>
    <xf numFmtId="169" fontId="37" fillId="0" borderId="9" xfId="0" applyNumberFormat="1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10" fontId="35" fillId="0" borderId="25" xfId="0" applyNumberFormat="1" applyFont="1" applyBorder="1" applyAlignment="1">
      <alignment horizontal="center"/>
    </xf>
    <xf numFmtId="169" fontId="35" fillId="0" borderId="25" xfId="0" applyNumberFormat="1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0" fontId="34" fillId="0" borderId="24" xfId="0" applyFont="1" applyFill="1" applyBorder="1" applyAlignment="1">
      <alignment horizontal="right"/>
    </xf>
    <xf numFmtId="169" fontId="35" fillId="0" borderId="12" xfId="0" applyNumberFormat="1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8" xfId="0" applyFont="1" applyFill="1" applyBorder="1" applyAlignment="1">
      <alignment horizontal="center"/>
    </xf>
    <xf numFmtId="169" fontId="34" fillId="0" borderId="9" xfId="0" applyNumberFormat="1" applyFont="1" applyBorder="1" applyAlignment="1">
      <alignment horizontal="center"/>
    </xf>
    <xf numFmtId="170" fontId="38" fillId="0" borderId="8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169" fontId="34" fillId="0" borderId="11" xfId="0" applyNumberFormat="1" applyFont="1" applyBorder="1" applyAlignment="1">
      <alignment horizontal="center"/>
    </xf>
    <xf numFmtId="169" fontId="34" fillId="0" borderId="8" xfId="0" applyNumberFormat="1" applyFont="1" applyBorder="1" applyAlignment="1">
      <alignment horizontal="center"/>
    </xf>
    <xf numFmtId="169" fontId="34" fillId="0" borderId="12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4" fillId="0" borderId="0" xfId="0" applyNumberFormat="1" applyFont="1" applyAlignment="1">
      <alignment horizontal="center"/>
    </xf>
    <xf numFmtId="169" fontId="39" fillId="0" borderId="8" xfId="0" applyNumberFormat="1" applyFont="1" applyBorder="1" applyAlignment="1">
      <alignment horizontal="center"/>
    </xf>
    <xf numFmtId="169" fontId="39" fillId="0" borderId="9" xfId="0" applyNumberFormat="1" applyFont="1" applyBorder="1" applyAlignment="1">
      <alignment horizontal="center"/>
    </xf>
    <xf numFmtId="169" fontId="34" fillId="0" borderId="8" xfId="0" applyNumberFormat="1" applyFont="1" applyFill="1" applyBorder="1" applyAlignment="1">
      <alignment horizontal="center"/>
    </xf>
    <xf numFmtId="0" fontId="34" fillId="0" borderId="12" xfId="0" applyNumberFormat="1" applyFont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169" fontId="35" fillId="0" borderId="27" xfId="0" applyNumberFormat="1" applyFont="1" applyBorder="1" applyAlignment="1">
      <alignment horizontal="center"/>
    </xf>
    <xf numFmtId="170" fontId="40" fillId="0" borderId="24" xfId="0" applyNumberFormat="1" applyFont="1" applyBorder="1" applyAlignment="1">
      <alignment horizontal="center"/>
    </xf>
    <xf numFmtId="0" fontId="35" fillId="0" borderId="28" xfId="0" applyNumberFormat="1" applyFont="1" applyBorder="1" applyAlignment="1">
      <alignment horizontal="center"/>
    </xf>
    <xf numFmtId="169" fontId="35" fillId="0" borderId="29" xfId="0" applyNumberFormat="1" applyFont="1" applyBorder="1" applyAlignment="1">
      <alignment horizontal="center"/>
    </xf>
    <xf numFmtId="169" fontId="35" fillId="0" borderId="24" xfId="0" applyNumberFormat="1" applyFont="1" applyBorder="1" applyAlignment="1">
      <alignment horizontal="center"/>
    </xf>
    <xf numFmtId="169" fontId="35" fillId="0" borderId="28" xfId="0" applyNumberFormat="1" applyFont="1" applyBorder="1" applyAlignment="1">
      <alignment horizontal="center"/>
    </xf>
    <xf numFmtId="2" fontId="35" fillId="0" borderId="29" xfId="0" applyNumberFormat="1" applyFont="1" applyBorder="1" applyAlignment="1">
      <alignment horizontal="center"/>
    </xf>
    <xf numFmtId="2" fontId="35" fillId="0" borderId="23" xfId="0" applyNumberFormat="1" applyFont="1" applyBorder="1" applyAlignment="1">
      <alignment horizontal="center"/>
    </xf>
    <xf numFmtId="169" fontId="37" fillId="0" borderId="24" xfId="0" applyNumberFormat="1" applyFont="1" applyBorder="1" applyAlignment="1">
      <alignment horizontal="center"/>
    </xf>
    <xf numFmtId="169" fontId="37" fillId="0" borderId="27" xfId="0" applyNumberFormat="1" applyFont="1" applyBorder="1" applyAlignment="1">
      <alignment horizontal="center"/>
    </xf>
    <xf numFmtId="0" fontId="34" fillId="0" borderId="0" xfId="0" applyFont="1" applyAlignment="1">
      <alignment/>
    </xf>
    <xf numFmtId="2" fontId="35" fillId="0" borderId="24" xfId="0" applyNumberFormat="1" applyFont="1" applyFill="1" applyBorder="1" applyAlignment="1">
      <alignment horizontal="center"/>
    </xf>
    <xf numFmtId="2" fontId="35" fillId="0" borderId="29" xfId="0" applyNumberFormat="1" applyFont="1" applyFill="1" applyBorder="1" applyAlignment="1">
      <alignment horizontal="center"/>
    </xf>
    <xf numFmtId="2" fontId="34" fillId="0" borderId="8" xfId="0" applyNumberFormat="1" applyFont="1" applyFill="1" applyBorder="1" applyAlignment="1">
      <alignment horizontal="center"/>
    </xf>
    <xf numFmtId="2" fontId="34" fillId="0" borderId="24" xfId="0" applyNumberFormat="1" applyFont="1" applyFill="1" applyBorder="1" applyAlignment="1">
      <alignment horizontal="left"/>
    </xf>
    <xf numFmtId="0" fontId="35" fillId="0" borderId="29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169" fontId="0" fillId="0" borderId="0" xfId="0" applyNumberFormat="1" applyFont="1" applyBorder="1" applyAlignment="1">
      <alignment/>
    </xf>
    <xf numFmtId="0" fontId="19" fillId="0" borderId="3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0" borderId="31" xfId="0" applyFont="1" applyBorder="1" applyAlignment="1" applyProtection="1">
      <alignment horizontal="right" indent="1"/>
      <protection locked="0"/>
    </xf>
    <xf numFmtId="0" fontId="26" fillId="0" borderId="32" xfId="0" applyFont="1" applyBorder="1" applyAlignment="1" applyProtection="1">
      <alignment horizontal="right" indent="1"/>
      <protection locked="0"/>
    </xf>
    <xf numFmtId="0" fontId="26" fillId="0" borderId="11" xfId="0" applyFont="1" applyBorder="1" applyAlignment="1" applyProtection="1">
      <alignment horizontal="right" indent="1"/>
      <protection locked="0"/>
    </xf>
    <xf numFmtId="0" fontId="26" fillId="0" borderId="8" xfId="0" applyFont="1" applyBorder="1" applyAlignment="1" applyProtection="1">
      <alignment horizontal="right" indent="1"/>
      <protection locked="0"/>
    </xf>
    <xf numFmtId="0" fontId="26" fillId="0" borderId="8" xfId="0" applyFont="1" applyFill="1" applyBorder="1" applyAlignment="1" applyProtection="1">
      <alignment horizontal="right" indent="1"/>
      <protection locked="0"/>
    </xf>
    <xf numFmtId="2" fontId="34" fillId="0" borderId="32" xfId="0" applyNumberFormat="1" applyFont="1" applyBorder="1" applyAlignment="1">
      <alignment horizontal="center"/>
    </xf>
    <xf numFmtId="2" fontId="34" fillId="0" borderId="31" xfId="0" applyNumberFormat="1" applyFont="1" applyBorder="1" applyAlignment="1">
      <alignment horizontal="center"/>
    </xf>
    <xf numFmtId="2" fontId="34" fillId="0" borderId="8" xfId="0" applyNumberFormat="1" applyFont="1" applyBorder="1" applyAlignment="1">
      <alignment horizontal="center"/>
    </xf>
    <xf numFmtId="2" fontId="34" fillId="0" borderId="11" xfId="0" applyNumberFormat="1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2" fontId="35" fillId="0" borderId="31" xfId="0" applyNumberFormat="1" applyFont="1" applyBorder="1" applyAlignment="1">
      <alignment horizontal="center"/>
    </xf>
    <xf numFmtId="2" fontId="34" fillId="0" borderId="20" xfId="0" applyNumberFormat="1" applyFont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189" fontId="20" fillId="0" borderId="0" xfId="0" applyNumberFormat="1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DIAGRAMA DE INTERACCION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782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Sheet1!$B$24:$B$43</c:f>
              <c:strCache>
                <c:ptCount val="1"/>
                <c:pt idx="0">
                  <c:v>Pnmax Padm 1 2 3 4 5 6 7 Pb 8 9 10 11 12 13 P=0 14 15 M=0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Pn(max):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Pn(adm): &quot;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12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øMn: &quot;0.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Sheet1!$R$24:$R$43</c:f>
              <c:numCache/>
            </c:numRef>
          </c:xVal>
          <c:yVal>
            <c:numRef>
              <c:f>Sheet1!$Q$24:$Q$43</c:f>
              <c:numCache/>
            </c:numRef>
          </c:yVal>
          <c:smooth val="0"/>
        </c:ser>
        <c:ser>
          <c:idx val="0"/>
          <c:order val="1"/>
          <c:tx>
            <c:v>Falla Balanceada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(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Pb,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</a:rPr>
                      <a:t>f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Mb)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(Sheet1!$R$21,Sheet1!$R$33)</c:f>
              <c:numCache/>
            </c:numRef>
          </c:xVal>
          <c:yVal>
            <c:numRef>
              <c:f>(Sheet1!$Q$21,Sheet1!$Q$33)</c:f>
              <c:numCache/>
            </c:numRef>
          </c:yVal>
          <c:smooth val="0"/>
        </c:ser>
        <c:ser>
          <c:idx val="2"/>
          <c:order val="2"/>
          <c:tx>
            <c:v>DISEÑO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Sheet1!$C$48:$C$80</c:f>
              <c:numCache/>
            </c:numRef>
          </c:xVal>
          <c:yVal>
            <c:numRef>
              <c:f>Sheet1!$B$48:$B$80</c:f>
              <c:numCache/>
            </c:numRef>
          </c:yVal>
          <c:smooth val="0"/>
        </c:ser>
        <c:axId val="53099640"/>
        <c:axId val="8134713"/>
      </c:scatterChart>
      <c:valAx>
        <c:axId val="53099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Mn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[Tm]</a:t>
                </a:r>
              </a:p>
            </c:rich>
          </c:tx>
          <c:layout>
            <c:manualLayout>
              <c:xMode val="factor"/>
              <c:yMode val="factor"/>
              <c:x val="0.105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134713"/>
        <c:crosses val="autoZero"/>
        <c:crossBetween val="midCat"/>
        <c:dispUnits/>
      </c:valAx>
      <c:valAx>
        <c:axId val="8134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Pn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[T]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640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8</xdr:row>
      <xdr:rowOff>142875</xdr:rowOff>
    </xdr:from>
    <xdr:to>
      <xdr:col>18</xdr:col>
      <xdr:colOff>200025</xdr:colOff>
      <xdr:row>18</xdr:row>
      <xdr:rowOff>152400</xdr:rowOff>
    </xdr:to>
    <xdr:grpSp>
      <xdr:nvGrpSpPr>
        <xdr:cNvPr id="1" name="Group 117"/>
        <xdr:cNvGrpSpPr>
          <a:grpSpLocks/>
        </xdr:cNvGrpSpPr>
      </xdr:nvGrpSpPr>
      <xdr:grpSpPr>
        <a:xfrm>
          <a:off x="4191000" y="1476375"/>
          <a:ext cx="4067175" cy="1781175"/>
          <a:chOff x="440" y="155"/>
          <a:chExt cx="427" cy="18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440" y="155"/>
            <a:ext cx="427" cy="187"/>
          </a:xfrm>
          <a:prstGeom prst="roundRect">
            <a:avLst/>
          </a:prstGeom>
          <a:solidFill>
            <a:srgbClr val="FFFFCC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2"/>
          <xdr:cNvSpPr>
            <a:spLocks/>
          </xdr:cNvSpPr>
        </xdr:nvSpPr>
        <xdr:spPr>
          <a:xfrm>
            <a:off x="734" y="210"/>
            <a:ext cx="40" cy="77"/>
          </a:xfrm>
          <a:custGeom>
            <a:pathLst>
              <a:path h="94" w="44">
                <a:moveTo>
                  <a:pt x="4" y="94"/>
                </a:moveTo>
                <a:lnTo>
                  <a:pt x="44" y="94"/>
                </a:lnTo>
                <a:lnTo>
                  <a:pt x="44" y="0"/>
                </a:lnTo>
                <a:lnTo>
                  <a:pt x="4" y="0"/>
                </a:lnTo>
                <a:cubicBezTo>
                  <a:pt x="4" y="4"/>
                  <a:pt x="7" y="12"/>
                  <a:pt x="3" y="16"/>
                </a:cubicBezTo>
                <a:cubicBezTo>
                  <a:pt x="4" y="18"/>
                  <a:pt x="1" y="23"/>
                  <a:pt x="1" y="23"/>
                </a:cubicBezTo>
                <a:cubicBezTo>
                  <a:pt x="2" y="25"/>
                  <a:pt x="5" y="28"/>
                  <a:pt x="5" y="28"/>
                </a:cubicBezTo>
                <a:cubicBezTo>
                  <a:pt x="5" y="35"/>
                  <a:pt x="0" y="46"/>
                  <a:pt x="6" y="48"/>
                </a:cubicBezTo>
                <a:cubicBezTo>
                  <a:pt x="4" y="53"/>
                  <a:pt x="4" y="52"/>
                  <a:pt x="6" y="57"/>
                </a:cubicBezTo>
                <a:cubicBezTo>
                  <a:pt x="5" y="59"/>
                  <a:pt x="4" y="61"/>
                  <a:pt x="4" y="63"/>
                </a:cubicBezTo>
                <a:cubicBezTo>
                  <a:pt x="4" y="66"/>
                  <a:pt x="7" y="70"/>
                  <a:pt x="7" y="70"/>
                </a:cubicBezTo>
                <a:cubicBezTo>
                  <a:pt x="6" y="73"/>
                  <a:pt x="5" y="74"/>
                  <a:pt x="4" y="76"/>
                </a:cubicBezTo>
                <a:cubicBezTo>
                  <a:pt x="5" y="83"/>
                  <a:pt x="3" y="87"/>
                  <a:pt x="4" y="94"/>
                </a:cubicBezTo>
                <a:close/>
              </a:path>
            </a:pathLst>
          </a:cu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4"/>
          <xdr:cNvSpPr>
            <a:spLocks/>
          </xdr:cNvSpPr>
        </xdr:nvSpPr>
        <xdr:spPr>
          <a:xfrm>
            <a:off x="607" y="280"/>
            <a:ext cx="164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604" y="270"/>
            <a:ext cx="13" cy="17"/>
          </a:xfrm>
          <a:prstGeom prst="rect">
            <a:avLst/>
          </a:prstGeom>
          <a:solidFill>
            <a:srgbClr val="FFFFCC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d'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04" y="211"/>
            <a:ext cx="78" cy="77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510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>
            <a:off x="587" y="280"/>
            <a:ext cx="1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1"/>
          <xdr:cNvSpPr>
            <a:spLocks/>
          </xdr:cNvSpPr>
        </xdr:nvSpPr>
        <xdr:spPr>
          <a:xfrm>
            <a:off x="588" y="210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99" y="207"/>
            <a:ext cx="0" cy="8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 flipV="1">
            <a:off x="597" y="277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4"/>
          <xdr:cNvSpPr>
            <a:spLocks/>
          </xdr:cNvSpPr>
        </xdr:nvSpPr>
        <xdr:spPr>
          <a:xfrm flipV="1">
            <a:off x="597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6"/>
          <xdr:cNvSpPr txBox="1">
            <a:spLocks noChangeArrowheads="1"/>
          </xdr:cNvSpPr>
        </xdr:nvSpPr>
        <xdr:spPr>
          <a:xfrm>
            <a:off x="599" y="236"/>
            <a:ext cx="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4" name="Line 17"/>
          <xdr:cNvSpPr>
            <a:spLocks/>
          </xdr:cNvSpPr>
        </xdr:nvSpPr>
        <xdr:spPr>
          <a:xfrm>
            <a:off x="587" y="287"/>
            <a:ext cx="3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8"/>
          <xdr:cNvSpPr>
            <a:spLocks/>
          </xdr:cNvSpPr>
        </xdr:nvSpPr>
        <xdr:spPr>
          <a:xfrm flipV="1">
            <a:off x="597" y="285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504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 flipV="1">
            <a:off x="502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502" y="195"/>
            <a:ext cx="8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582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5"/>
          <xdr:cNvSpPr>
            <a:spLocks/>
          </xdr:cNvSpPr>
        </xdr:nvSpPr>
        <xdr:spPr>
          <a:xfrm flipV="1">
            <a:off x="580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6"/>
          <xdr:cNvSpPr txBox="1">
            <a:spLocks noChangeArrowheads="1"/>
          </xdr:cNvSpPr>
        </xdr:nvSpPr>
        <xdr:spPr>
          <a:xfrm>
            <a:off x="540" y="180"/>
            <a:ext cx="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618" y="207"/>
            <a:ext cx="0" cy="8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 flipV="1">
            <a:off x="616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 flipV="1">
            <a:off x="616" y="285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30"/>
          <xdr:cNvSpPr txBox="1">
            <a:spLocks noChangeArrowheads="1"/>
          </xdr:cNvSpPr>
        </xdr:nvSpPr>
        <xdr:spPr>
          <a:xfrm>
            <a:off x="618" y="240"/>
            <a:ext cx="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774" y="280"/>
            <a:ext cx="3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35" descr="Light horizontal"/>
          <xdr:cNvSpPr>
            <a:spLocks/>
          </xdr:cNvSpPr>
        </xdr:nvSpPr>
        <xdr:spPr>
          <a:xfrm>
            <a:off x="778" y="210"/>
            <a:ext cx="20" cy="26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6"/>
          <xdr:cNvSpPr>
            <a:spLocks/>
          </xdr:cNvSpPr>
        </xdr:nvSpPr>
        <xdr:spPr>
          <a:xfrm>
            <a:off x="801" y="21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7"/>
          <xdr:cNvSpPr>
            <a:spLocks/>
          </xdr:cNvSpPr>
        </xdr:nvSpPr>
        <xdr:spPr>
          <a:xfrm>
            <a:off x="815" y="207"/>
            <a:ext cx="0" cy="3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8"/>
          <xdr:cNvSpPr>
            <a:spLocks/>
          </xdr:cNvSpPr>
        </xdr:nvSpPr>
        <xdr:spPr>
          <a:xfrm flipV="1">
            <a:off x="812" y="207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41"/>
          <xdr:cNvSpPr>
            <a:spLocks/>
          </xdr:cNvSpPr>
        </xdr:nvSpPr>
        <xdr:spPr>
          <a:xfrm>
            <a:off x="801" y="236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2"/>
          <xdr:cNvSpPr>
            <a:spLocks/>
          </xdr:cNvSpPr>
        </xdr:nvSpPr>
        <xdr:spPr>
          <a:xfrm flipV="1">
            <a:off x="812" y="234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43"/>
          <xdr:cNvSpPr txBox="1">
            <a:spLocks noChangeArrowheads="1"/>
          </xdr:cNvSpPr>
        </xdr:nvSpPr>
        <xdr:spPr>
          <a:xfrm>
            <a:off x="815" y="215"/>
            <a:ext cx="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34" name="Text Box 44"/>
          <xdr:cNvSpPr txBox="1">
            <a:spLocks noChangeArrowheads="1"/>
          </xdr:cNvSpPr>
        </xdr:nvSpPr>
        <xdr:spPr>
          <a:xfrm>
            <a:off x="803" y="270"/>
            <a:ext cx="1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xdr:txBody>
      </xdr:sp>
      <xdr:sp>
        <xdr:nvSpPr>
          <xdr:cNvPr id="35" name="Line 45"/>
          <xdr:cNvSpPr>
            <a:spLocks/>
          </xdr:cNvSpPr>
        </xdr:nvSpPr>
        <xdr:spPr>
          <a:xfrm>
            <a:off x="828" y="224"/>
            <a:ext cx="3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46"/>
          <xdr:cNvSpPr txBox="1">
            <a:spLocks noChangeArrowheads="1"/>
          </xdr:cNvSpPr>
        </xdr:nvSpPr>
        <xdr:spPr>
          <a:xfrm>
            <a:off x="845" y="209"/>
            <a:ext cx="1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>
            <a:off x="770" y="195"/>
            <a:ext cx="3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9"/>
          <xdr:cNvSpPr>
            <a:spLocks/>
          </xdr:cNvSpPr>
        </xdr:nvSpPr>
        <xdr:spPr>
          <a:xfrm>
            <a:off x="798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50"/>
          <xdr:cNvSpPr>
            <a:spLocks/>
          </xdr:cNvSpPr>
        </xdr:nvSpPr>
        <xdr:spPr>
          <a:xfrm flipV="1">
            <a:off x="795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Box 51"/>
          <xdr:cNvSpPr txBox="1">
            <a:spLocks noChangeArrowheads="1"/>
          </xdr:cNvSpPr>
        </xdr:nvSpPr>
        <xdr:spPr>
          <a:xfrm>
            <a:off x="772" y="180"/>
            <a:ext cx="3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0.85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f'c</a:t>
            </a:r>
          </a:p>
        </xdr:txBody>
      </xdr:sp>
      <xdr:sp>
        <xdr:nvSpPr>
          <xdr:cNvPr id="41" name="Line 52"/>
          <xdr:cNvSpPr>
            <a:spLocks/>
          </xdr:cNvSpPr>
        </xdr:nvSpPr>
        <xdr:spPr>
          <a:xfrm>
            <a:off x="778" y="192"/>
            <a:ext cx="0" cy="1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3"/>
          <xdr:cNvSpPr>
            <a:spLocks/>
          </xdr:cNvSpPr>
        </xdr:nvSpPr>
        <xdr:spPr>
          <a:xfrm flipV="1">
            <a:off x="775" y="193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7"/>
          <xdr:cNvSpPr>
            <a:spLocks/>
          </xdr:cNvSpPr>
        </xdr:nvSpPr>
        <xdr:spPr>
          <a:xfrm>
            <a:off x="510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4"/>
          <xdr:cNvSpPr>
            <a:spLocks/>
          </xdr:cNvSpPr>
        </xdr:nvSpPr>
        <xdr:spPr>
          <a:xfrm>
            <a:off x="585" y="218"/>
            <a:ext cx="186" cy="0"/>
          </a:xfrm>
          <a:prstGeom prst="line">
            <a:avLst/>
          </a:prstGeom>
          <a:noFill/>
          <a:ln w="0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2529"/>
          <xdr:cNvSpPr>
            <a:spLocks/>
          </xdr:cNvSpPr>
        </xdr:nvSpPr>
        <xdr:spPr>
          <a:xfrm flipH="1">
            <a:off x="650" y="210"/>
            <a:ext cx="45" cy="77"/>
          </a:xfrm>
          <a:custGeom>
            <a:pathLst>
              <a:path h="80" w="47">
                <a:moveTo>
                  <a:pt x="30" y="80"/>
                </a:moveTo>
                <a:lnTo>
                  <a:pt x="30" y="0"/>
                </a:lnTo>
                <a:lnTo>
                  <a:pt x="47" y="0"/>
                </a:lnTo>
                <a:lnTo>
                  <a:pt x="0" y="80"/>
                </a:lnTo>
                <a:lnTo>
                  <a:pt x="30" y="80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6"/>
          <xdr:cNvSpPr txBox="1">
            <a:spLocks noChangeArrowheads="1"/>
          </xdr:cNvSpPr>
        </xdr:nvSpPr>
        <xdr:spPr>
          <a:xfrm>
            <a:off x="651" y="196"/>
            <a:ext cx="12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47" name="Text Box 26"/>
          <xdr:cNvSpPr txBox="1">
            <a:spLocks noChangeArrowheads="1"/>
          </xdr:cNvSpPr>
        </xdr:nvSpPr>
        <xdr:spPr>
          <a:xfrm>
            <a:off x="667" y="205"/>
            <a:ext cx="12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'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8" name="Text Box 26"/>
          <xdr:cNvSpPr txBox="1">
            <a:spLocks noChangeArrowheads="1"/>
          </xdr:cNvSpPr>
        </xdr:nvSpPr>
        <xdr:spPr>
          <a:xfrm>
            <a:off x="691" y="266"/>
            <a:ext cx="1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e</a:t>
            </a:r>
            <a:r>
              <a: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</a:p>
        </xdr:txBody>
      </xdr:sp>
      <xdr:sp>
        <xdr:nvSpPr>
          <xdr:cNvPr id="49" name="Line 2533"/>
          <xdr:cNvSpPr>
            <a:spLocks/>
          </xdr:cNvSpPr>
        </xdr:nvSpPr>
        <xdr:spPr>
          <a:xfrm>
            <a:off x="666" y="280"/>
            <a:ext cx="25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2534"/>
          <xdr:cNvSpPr>
            <a:spLocks/>
          </xdr:cNvSpPr>
        </xdr:nvSpPr>
        <xdr:spPr>
          <a:xfrm>
            <a:off x="654" y="218"/>
            <a:ext cx="13" cy="0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11"/>
          <xdr:cNvSpPr>
            <a:spLocks/>
          </xdr:cNvSpPr>
        </xdr:nvSpPr>
        <xdr:spPr>
          <a:xfrm>
            <a:off x="678" y="210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708" y="207"/>
            <a:ext cx="0" cy="3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28"/>
          <xdr:cNvSpPr>
            <a:spLocks/>
          </xdr:cNvSpPr>
        </xdr:nvSpPr>
        <xdr:spPr>
          <a:xfrm flipV="1">
            <a:off x="706" y="20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11"/>
          <xdr:cNvSpPr>
            <a:spLocks/>
          </xdr:cNvSpPr>
        </xdr:nvSpPr>
        <xdr:spPr>
          <a:xfrm>
            <a:off x="678" y="238"/>
            <a:ext cx="3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8"/>
          <xdr:cNvSpPr>
            <a:spLocks/>
          </xdr:cNvSpPr>
        </xdr:nvSpPr>
        <xdr:spPr>
          <a:xfrm flipV="1">
            <a:off x="706" y="236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 Box 30"/>
          <xdr:cNvSpPr txBox="1">
            <a:spLocks noChangeArrowheads="1"/>
          </xdr:cNvSpPr>
        </xdr:nvSpPr>
        <xdr:spPr>
          <a:xfrm>
            <a:off x="711" y="216"/>
            <a:ext cx="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7" name="Oval 7"/>
          <xdr:cNvSpPr>
            <a:spLocks/>
          </xdr:cNvSpPr>
        </xdr:nvSpPr>
        <xdr:spPr>
          <a:xfrm>
            <a:off x="571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7"/>
          <xdr:cNvSpPr>
            <a:spLocks/>
          </xdr:cNvSpPr>
        </xdr:nvSpPr>
        <xdr:spPr>
          <a:xfrm>
            <a:off x="571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7"/>
          <xdr:cNvSpPr>
            <a:spLocks/>
          </xdr:cNvSpPr>
        </xdr:nvSpPr>
        <xdr:spPr>
          <a:xfrm>
            <a:off x="531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7"/>
          <xdr:cNvSpPr>
            <a:spLocks/>
          </xdr:cNvSpPr>
        </xdr:nvSpPr>
        <xdr:spPr>
          <a:xfrm>
            <a:off x="531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7"/>
          <xdr:cNvSpPr>
            <a:spLocks/>
          </xdr:cNvSpPr>
        </xdr:nvSpPr>
        <xdr:spPr>
          <a:xfrm>
            <a:off x="552" y="27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7"/>
          <xdr:cNvSpPr>
            <a:spLocks/>
          </xdr:cNvSpPr>
        </xdr:nvSpPr>
        <xdr:spPr>
          <a:xfrm>
            <a:off x="552" y="216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7"/>
          <xdr:cNvSpPr>
            <a:spLocks/>
          </xdr:cNvSpPr>
        </xdr:nvSpPr>
        <xdr:spPr>
          <a:xfrm>
            <a:off x="510" y="258"/>
            <a:ext cx="5" cy="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"/>
          <xdr:cNvSpPr>
            <a:spLocks/>
          </xdr:cNvSpPr>
        </xdr:nvSpPr>
        <xdr:spPr>
          <a:xfrm>
            <a:off x="571" y="258"/>
            <a:ext cx="5" cy="4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 Box 46"/>
          <xdr:cNvSpPr txBox="1">
            <a:spLocks noChangeArrowheads="1"/>
          </xdr:cNvSpPr>
        </xdr:nvSpPr>
        <xdr:spPr>
          <a:xfrm>
            <a:off x="441" y="240"/>
            <a:ext cx="2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</a:t>
            </a:r>
          </a:p>
        </xdr:txBody>
      </xdr:sp>
      <xdr:grpSp>
        <xdr:nvGrpSpPr>
          <xdr:cNvPr id="66" name="Group 2552"/>
          <xdr:cNvGrpSpPr>
            <a:grpSpLocks/>
          </xdr:cNvGrpSpPr>
        </xdr:nvGrpSpPr>
        <xdr:grpSpPr>
          <a:xfrm>
            <a:off x="468" y="242"/>
            <a:ext cx="33" cy="15"/>
            <a:chOff x="324" y="1372"/>
            <a:chExt cx="33" cy="15"/>
          </a:xfrm>
          <a:solidFill>
            <a:srgbClr val="FFFFFF"/>
          </a:solidFill>
        </xdr:grpSpPr>
        <xdr:sp>
          <xdr:nvSpPr>
            <xdr:cNvPr id="67" name="Line 45"/>
            <xdr:cNvSpPr>
              <a:spLocks/>
            </xdr:cNvSpPr>
          </xdr:nvSpPr>
          <xdr:spPr>
            <a:xfrm>
              <a:off x="326" y="1379"/>
              <a:ext cx="31" cy="0"/>
            </a:xfrm>
            <a:prstGeom prst="line">
              <a:avLst/>
            </a:prstGeom>
            <a:noFill/>
            <a:ln w="15875" cmpd="sng">
              <a:solidFill>
                <a:srgbClr val="000000"/>
              </a:solidFill>
              <a:headEnd type="arrow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Freeform 2551"/>
            <xdr:cNvSpPr>
              <a:spLocks/>
            </xdr:cNvSpPr>
          </xdr:nvSpPr>
          <xdr:spPr>
            <a:xfrm>
              <a:off x="324" y="1372"/>
              <a:ext cx="6" cy="15"/>
            </a:xfrm>
            <a:custGeom>
              <a:pathLst>
                <a:path h="15" w="6">
                  <a:moveTo>
                    <a:pt x="6" y="0"/>
                  </a:moveTo>
                  <a:lnTo>
                    <a:pt x="0" y="7"/>
                  </a:lnTo>
                  <a:lnTo>
                    <a:pt x="6" y="15"/>
                  </a:lnTo>
                </a:path>
              </a:pathLst>
            </a:cu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9" name="Line 23"/>
          <xdr:cNvSpPr>
            <a:spLocks/>
          </xdr:cNvSpPr>
        </xdr:nvSpPr>
        <xdr:spPr>
          <a:xfrm>
            <a:off x="550" y="303"/>
            <a:ext cx="2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24"/>
          <xdr:cNvSpPr>
            <a:spLocks/>
          </xdr:cNvSpPr>
        </xdr:nvSpPr>
        <xdr:spPr>
          <a:xfrm>
            <a:off x="574" y="29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25"/>
          <xdr:cNvSpPr>
            <a:spLocks/>
          </xdr:cNvSpPr>
        </xdr:nvSpPr>
        <xdr:spPr>
          <a:xfrm flipV="1">
            <a:off x="571" y="301"/>
            <a:ext cx="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6"/>
          <xdr:cNvSpPr txBox="1">
            <a:spLocks noChangeArrowheads="1"/>
          </xdr:cNvSpPr>
        </xdr:nvSpPr>
        <xdr:spPr>
          <a:xfrm>
            <a:off x="555" y="287"/>
            <a:ext cx="19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73" name="Line 24"/>
          <xdr:cNvSpPr>
            <a:spLocks/>
          </xdr:cNvSpPr>
        </xdr:nvSpPr>
        <xdr:spPr>
          <a:xfrm>
            <a:off x="554" y="291"/>
            <a:ext cx="0" cy="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25"/>
          <xdr:cNvSpPr>
            <a:spLocks/>
          </xdr:cNvSpPr>
        </xdr:nvSpPr>
        <xdr:spPr>
          <a:xfrm flipV="1">
            <a:off x="551" y="301"/>
            <a:ext cx="5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ounded Rectangle 78"/>
          <xdr:cNvSpPr>
            <a:spLocks/>
          </xdr:cNvSpPr>
        </xdr:nvSpPr>
        <xdr:spPr>
          <a:xfrm>
            <a:off x="510" y="216"/>
            <a:ext cx="67" cy="67"/>
          </a:xfrm>
          <a:prstGeom prst="round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23"/>
          <xdr:cNvSpPr>
            <a:spLocks/>
          </xdr:cNvSpPr>
        </xdr:nvSpPr>
        <xdr:spPr>
          <a:xfrm>
            <a:off x="484" y="28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4"/>
          <xdr:cNvSpPr>
            <a:spLocks/>
          </xdr:cNvSpPr>
        </xdr:nvSpPr>
        <xdr:spPr>
          <a:xfrm>
            <a:off x="488" y="258"/>
            <a:ext cx="0" cy="2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5"/>
          <xdr:cNvSpPr>
            <a:spLocks/>
          </xdr:cNvSpPr>
        </xdr:nvSpPr>
        <xdr:spPr>
          <a:xfrm flipV="1">
            <a:off x="486" y="278"/>
            <a:ext cx="5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3"/>
          <xdr:cNvSpPr>
            <a:spLocks/>
          </xdr:cNvSpPr>
        </xdr:nvSpPr>
        <xdr:spPr>
          <a:xfrm>
            <a:off x="484" y="260"/>
            <a:ext cx="18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5"/>
          <xdr:cNvSpPr>
            <a:spLocks/>
          </xdr:cNvSpPr>
        </xdr:nvSpPr>
        <xdr:spPr>
          <a:xfrm flipV="1">
            <a:off x="486" y="259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7"/>
          <xdr:cNvSpPr>
            <a:spLocks/>
          </xdr:cNvSpPr>
        </xdr:nvSpPr>
        <xdr:spPr>
          <a:xfrm>
            <a:off x="510" y="23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Oval 7"/>
          <xdr:cNvSpPr>
            <a:spLocks/>
          </xdr:cNvSpPr>
        </xdr:nvSpPr>
        <xdr:spPr>
          <a:xfrm>
            <a:off x="571" y="237"/>
            <a:ext cx="5" cy="5"/>
          </a:xfrm>
          <a:prstGeom prst="ellipse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 Box 26"/>
          <xdr:cNvSpPr txBox="1">
            <a:spLocks noChangeArrowheads="1"/>
          </xdr:cNvSpPr>
        </xdr:nvSpPr>
        <xdr:spPr>
          <a:xfrm>
            <a:off x="472" y="259"/>
            <a:ext cx="2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oneCellAnchor>
    <xdr:from>
      <xdr:col>1</xdr:col>
      <xdr:colOff>76200</xdr:colOff>
      <xdr:row>0</xdr:row>
      <xdr:rowOff>152400</xdr:rowOff>
    </xdr:from>
    <xdr:ext cx="4838700" cy="457200"/>
    <xdr:sp>
      <xdr:nvSpPr>
        <xdr:cNvPr id="84" name="Text Box 194"/>
        <xdr:cNvSpPr txBox="1">
          <a:spLocks noChangeArrowheads="1"/>
        </xdr:cNvSpPr>
      </xdr:nvSpPr>
      <xdr:spPr>
        <a:xfrm>
          <a:off x="523875" y="152400"/>
          <a:ext cx="4838700" cy="4572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0292" rIns="64008" bIns="5029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COLUMNAS CORTAS - ACI 318-05</a:t>
          </a:r>
        </a:p>
      </xdr:txBody>
    </xdr:sp>
    <xdr:clientData/>
  </xdr:oneCellAnchor>
  <xdr:twoCellAnchor>
    <xdr:from>
      <xdr:col>18</xdr:col>
      <xdr:colOff>266700</xdr:colOff>
      <xdr:row>23</xdr:row>
      <xdr:rowOff>104775</xdr:rowOff>
    </xdr:from>
    <xdr:to>
      <xdr:col>18</xdr:col>
      <xdr:colOff>266700</xdr:colOff>
      <xdr:row>40</xdr:row>
      <xdr:rowOff>95250</xdr:rowOff>
    </xdr:to>
    <xdr:sp>
      <xdr:nvSpPr>
        <xdr:cNvPr id="85" name="Line 85"/>
        <xdr:cNvSpPr>
          <a:spLocks/>
        </xdr:cNvSpPr>
      </xdr:nvSpPr>
      <xdr:spPr>
        <a:xfrm>
          <a:off x="8324850" y="4076700"/>
          <a:ext cx="0" cy="2895600"/>
        </a:xfrm>
        <a:prstGeom prst="line">
          <a:avLst/>
        </a:prstGeom>
        <a:noFill/>
        <a:ln w="31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161925</xdr:colOff>
      <xdr:row>32</xdr:row>
      <xdr:rowOff>85725</xdr:rowOff>
    </xdr:from>
    <xdr:to>
      <xdr:col>18</xdr:col>
      <xdr:colOff>361950</xdr:colOff>
      <xdr:row>32</xdr:row>
      <xdr:rowOff>85725</xdr:rowOff>
    </xdr:to>
    <xdr:sp>
      <xdr:nvSpPr>
        <xdr:cNvPr id="86" name="Line 86"/>
        <xdr:cNvSpPr>
          <a:spLocks/>
        </xdr:cNvSpPr>
      </xdr:nvSpPr>
      <xdr:spPr>
        <a:xfrm>
          <a:off x="8220075" y="5591175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24</xdr:row>
      <xdr:rowOff>38100</xdr:rowOff>
    </xdr:from>
    <xdr:to>
      <xdr:col>18</xdr:col>
      <xdr:colOff>304800</xdr:colOff>
      <xdr:row>32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8143875" y="4181475"/>
          <a:ext cx="2190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Falla por Compresión</a:t>
          </a:r>
        </a:p>
      </xdr:txBody>
    </xdr:sp>
    <xdr:clientData/>
  </xdr:twoCellAnchor>
  <xdr:twoCellAnchor>
    <xdr:from>
      <xdr:col>18</xdr:col>
      <xdr:colOff>85725</xdr:colOff>
      <xdr:row>33</xdr:row>
      <xdr:rowOff>47625</xdr:rowOff>
    </xdr:from>
    <xdr:to>
      <xdr:col>18</xdr:col>
      <xdr:colOff>304800</xdr:colOff>
      <xdr:row>40</xdr:row>
      <xdr:rowOff>66675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8143875" y="5724525"/>
          <a:ext cx="2190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Falla por Tracción</a:t>
          </a:r>
        </a:p>
      </xdr:txBody>
    </xdr:sp>
    <xdr:clientData/>
  </xdr:twoCellAnchor>
  <xdr:twoCellAnchor>
    <xdr:from>
      <xdr:col>4</xdr:col>
      <xdr:colOff>171450</xdr:colOff>
      <xdr:row>44</xdr:row>
      <xdr:rowOff>76200</xdr:rowOff>
    </xdr:from>
    <xdr:to>
      <xdr:col>17</xdr:col>
      <xdr:colOff>228600</xdr:colOff>
      <xdr:row>80</xdr:row>
      <xdr:rowOff>38100</xdr:rowOff>
    </xdr:to>
    <xdr:graphicFrame>
      <xdr:nvGraphicFramePr>
        <xdr:cNvPr id="89" name="Chart 2451"/>
        <xdr:cNvGraphicFramePr/>
      </xdr:nvGraphicFramePr>
      <xdr:xfrm>
        <a:off x="1962150" y="7620000"/>
        <a:ext cx="58769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44</xdr:row>
      <xdr:rowOff>104775</xdr:rowOff>
    </xdr:from>
    <xdr:to>
      <xdr:col>18</xdr:col>
      <xdr:colOff>0</xdr:colOff>
      <xdr:row>80</xdr:row>
      <xdr:rowOff>76200</xdr:rowOff>
    </xdr:to>
    <xdr:sp>
      <xdr:nvSpPr>
        <xdr:cNvPr id="90" name="Rectangle 94"/>
        <xdr:cNvSpPr>
          <a:spLocks/>
        </xdr:cNvSpPr>
      </xdr:nvSpPr>
      <xdr:spPr>
        <a:xfrm>
          <a:off x="1800225" y="7648575"/>
          <a:ext cx="6257925" cy="5800725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9525</xdr:rowOff>
    </xdr:from>
    <xdr:to>
      <xdr:col>3</xdr:col>
      <xdr:colOff>266700</xdr:colOff>
      <xdr:row>14</xdr:row>
      <xdr:rowOff>9525</xdr:rowOff>
    </xdr:to>
    <xdr:sp>
      <xdr:nvSpPr>
        <xdr:cNvPr id="91" name="Rectangle 113"/>
        <xdr:cNvSpPr>
          <a:spLocks/>
        </xdr:cNvSpPr>
      </xdr:nvSpPr>
      <xdr:spPr>
        <a:xfrm>
          <a:off x="533400" y="1666875"/>
          <a:ext cx="1076325" cy="72390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9525</xdr:rowOff>
    </xdr:from>
    <xdr:to>
      <xdr:col>4</xdr:col>
      <xdr:colOff>180975</xdr:colOff>
      <xdr:row>8</xdr:row>
      <xdr:rowOff>9525</xdr:rowOff>
    </xdr:to>
    <xdr:sp>
      <xdr:nvSpPr>
        <xdr:cNvPr id="92" name="Rectangle 115"/>
        <xdr:cNvSpPr>
          <a:spLocks/>
        </xdr:cNvSpPr>
      </xdr:nvSpPr>
      <xdr:spPr>
        <a:xfrm>
          <a:off x="533400" y="981075"/>
          <a:ext cx="1438275" cy="361950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19050</xdr:rowOff>
    </xdr:from>
    <xdr:to>
      <xdr:col>5</xdr:col>
      <xdr:colOff>276225</xdr:colOff>
      <xdr:row>19</xdr:row>
      <xdr:rowOff>0</xdr:rowOff>
    </xdr:to>
    <xdr:sp>
      <xdr:nvSpPr>
        <xdr:cNvPr id="93" name="Rectangle 116"/>
        <xdr:cNvSpPr>
          <a:spLocks/>
        </xdr:cNvSpPr>
      </xdr:nvSpPr>
      <xdr:spPr>
        <a:xfrm>
          <a:off x="533400" y="2724150"/>
          <a:ext cx="1981200" cy="542925"/>
        </a:xfrm>
        <a:prstGeom prst="round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80"/>
  <sheetViews>
    <sheetView showGridLines="0" tabSelected="1" workbookViewId="0" topLeftCell="A1">
      <selection activeCell="E19" sqref="E19"/>
    </sheetView>
  </sheetViews>
  <sheetFormatPr defaultColWidth="9.140625" defaultRowHeight="12.75"/>
  <cols>
    <col min="1" max="61" width="6.7109375" style="0" customWidth="1"/>
  </cols>
  <sheetData>
    <row r="5" spans="1:19" ht="12.75">
      <c r="A5" s="1"/>
      <c r="B5" s="1"/>
      <c r="C5" s="1"/>
      <c r="D5" s="1"/>
      <c r="E5" s="1"/>
      <c r="F5" s="1"/>
      <c r="G5" s="1"/>
      <c r="H5" s="1"/>
      <c r="I5" s="2"/>
      <c r="J5" s="2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/>
      <c r="B6" s="3" t="s">
        <v>49</v>
      </c>
      <c r="C6" s="1"/>
      <c r="D6" s="1"/>
      <c r="E6" s="1"/>
      <c r="F6" s="1"/>
      <c r="G6" s="1"/>
      <c r="H6" s="1"/>
      <c r="I6" s="2"/>
      <c r="J6" s="2"/>
      <c r="K6" s="1"/>
      <c r="L6" s="4">
        <f>IF(F14&lt;0.01,"(Cuantia Mínima: 1% → Aumentar Armadura)",IF(F14&gt;0.08,"(Cuantía Máxima: 8% → Reducir Armadura)",""))</f>
      </c>
      <c r="M6" s="1"/>
      <c r="N6" s="1"/>
      <c r="O6" s="1"/>
      <c r="P6" s="1"/>
      <c r="Q6" s="1"/>
      <c r="R6" s="1"/>
      <c r="S6" s="1"/>
    </row>
    <row r="7" spans="1:16" ht="15.75">
      <c r="A7" s="5"/>
      <c r="B7" s="6" t="s">
        <v>41</v>
      </c>
      <c r="C7" s="7"/>
      <c r="D7" s="8" t="s">
        <v>0</v>
      </c>
      <c r="E7" s="8"/>
      <c r="F7" s="9" t="s">
        <v>50</v>
      </c>
      <c r="G7" s="10">
        <f>IF(D7="H_20",20,IF(D7="H_25",25,30))</f>
        <v>25</v>
      </c>
      <c r="H7" s="11" t="s">
        <v>1</v>
      </c>
      <c r="I7" s="12" t="s">
        <v>57</v>
      </c>
      <c r="J7" s="13">
        <v>0.003</v>
      </c>
      <c r="K7" s="13"/>
      <c r="L7" s="14">
        <f>IF(H17&gt;150,"s1 &gt; 150mm → Separacion excesiva entre barras",IF(H18&gt;150,"s2 &gt; 150mm → Separacion excesiva entre barras",""))</f>
      </c>
      <c r="M7" s="1"/>
      <c r="N7" s="1"/>
      <c r="O7" s="1"/>
      <c r="P7" s="1"/>
    </row>
    <row r="8" spans="1:16" ht="12.75">
      <c r="A8" s="1"/>
      <c r="B8" s="6" t="s">
        <v>42</v>
      </c>
      <c r="C8" s="7"/>
      <c r="D8" s="8" t="s">
        <v>2</v>
      </c>
      <c r="E8" s="8"/>
      <c r="F8" s="9" t="s">
        <v>51</v>
      </c>
      <c r="G8" s="11">
        <f>IF(D8="ADN420",420,500)</f>
        <v>420</v>
      </c>
      <c r="H8" s="11" t="s">
        <v>1</v>
      </c>
      <c r="I8" s="12" t="s">
        <v>11</v>
      </c>
      <c r="J8" s="15">
        <v>210000</v>
      </c>
      <c r="K8" s="13" t="s">
        <v>12</v>
      </c>
      <c r="L8" s="16">
        <f>IF(E19&gt;H19,"Separacion entre estribos excesiva","")</f>
      </c>
      <c r="M8" s="1"/>
      <c r="N8" s="1"/>
      <c r="O8" s="1"/>
      <c r="P8" s="1"/>
    </row>
    <row r="9" spans="1:16" ht="12.75">
      <c r="A9" s="1"/>
      <c r="B9" s="17"/>
      <c r="C9" s="7"/>
      <c r="D9" s="8"/>
      <c r="E9" s="8"/>
      <c r="F9" s="9"/>
      <c r="G9" s="11"/>
      <c r="H9" s="11"/>
      <c r="I9" s="12"/>
      <c r="J9" s="15"/>
      <c r="K9" s="13"/>
      <c r="L9" s="1"/>
      <c r="M9" s="1"/>
      <c r="N9" s="1"/>
      <c r="O9" s="1"/>
      <c r="P9" s="1"/>
    </row>
    <row r="10" spans="1:19" ht="12.75">
      <c r="A10" s="1"/>
      <c r="B10" s="3" t="s">
        <v>52</v>
      </c>
      <c r="C10" s="1"/>
      <c r="D10" s="1"/>
      <c r="E10" s="7"/>
      <c r="F10" s="7"/>
      <c r="G10" s="7"/>
      <c r="H10" s="18"/>
      <c r="I10" s="9"/>
      <c r="J10" s="11"/>
      <c r="K10" s="11"/>
      <c r="L10" s="1"/>
      <c r="M10" s="1"/>
      <c r="N10" s="1"/>
      <c r="O10" s="1"/>
      <c r="P10" s="1"/>
      <c r="Q10" s="1"/>
      <c r="R10" s="1"/>
      <c r="S10" s="1"/>
    </row>
    <row r="11" spans="1:17" ht="15.75">
      <c r="A11" s="1"/>
      <c r="B11" s="19" t="s">
        <v>5</v>
      </c>
      <c r="C11" s="20">
        <v>50</v>
      </c>
      <c r="D11" s="1" t="s">
        <v>7</v>
      </c>
      <c r="E11" s="21" t="s">
        <v>56</v>
      </c>
      <c r="F11" s="22">
        <f>(I11+0.5*I12)/2</f>
        <v>18.52649220450226</v>
      </c>
      <c r="G11" s="13" t="s">
        <v>3</v>
      </c>
      <c r="H11" s="23" t="s">
        <v>58</v>
      </c>
      <c r="I11" s="24">
        <f>D17*PI()*(2.54*E17/8)^2/4</f>
        <v>28.502295699234246</v>
      </c>
      <c r="J11" s="25" t="s">
        <v>3</v>
      </c>
      <c r="K11" s="1"/>
      <c r="L11" s="1"/>
      <c r="M11" s="1"/>
      <c r="N11" s="1"/>
      <c r="O11" s="1"/>
      <c r="P11" s="1"/>
      <c r="Q11" s="1"/>
    </row>
    <row r="12" spans="1:17" ht="15.75">
      <c r="A12" s="1"/>
      <c r="B12" s="19" t="s">
        <v>6</v>
      </c>
      <c r="C12" s="20">
        <v>50</v>
      </c>
      <c r="D12" s="1" t="s">
        <v>7</v>
      </c>
      <c r="E12" s="26" t="s">
        <v>10</v>
      </c>
      <c r="F12" s="22">
        <f>I11+I12</f>
        <v>45.60367311877479</v>
      </c>
      <c r="G12" s="13" t="s">
        <v>3</v>
      </c>
      <c r="H12" s="23" t="s">
        <v>59</v>
      </c>
      <c r="I12" s="24">
        <f>D18*PI()*(2.54*E18/8)^2/4</f>
        <v>17.101377419540547</v>
      </c>
      <c r="J12" s="25" t="s">
        <v>3</v>
      </c>
      <c r="K12" s="1"/>
      <c r="L12" s="1"/>
      <c r="M12" s="1"/>
      <c r="N12" s="1"/>
      <c r="O12" s="1"/>
      <c r="P12" s="1"/>
      <c r="Q12" s="1"/>
    </row>
    <row r="13" spans="1:17" ht="12.75">
      <c r="A13" s="1"/>
      <c r="B13" s="19" t="s">
        <v>9</v>
      </c>
      <c r="C13" s="20">
        <v>4</v>
      </c>
      <c r="D13" s="1" t="s">
        <v>7</v>
      </c>
      <c r="E13" s="26" t="s">
        <v>8</v>
      </c>
      <c r="F13" s="13">
        <f>C12*C11</f>
        <v>2500</v>
      </c>
      <c r="G13" s="13" t="s">
        <v>3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/>
      <c r="B14" s="19" t="s">
        <v>4</v>
      </c>
      <c r="C14" s="27">
        <f>C11-C13</f>
        <v>46</v>
      </c>
      <c r="D14" s="1" t="s">
        <v>7</v>
      </c>
      <c r="E14" s="28" t="s">
        <v>60</v>
      </c>
      <c r="F14" s="29">
        <f>F12/F13</f>
        <v>0.01824146924750992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9" ht="12.75">
      <c r="A15" s="1"/>
      <c r="B15" s="1"/>
      <c r="C15" s="1"/>
      <c r="D15" s="1"/>
      <c r="E15" s="30"/>
      <c r="F15" s="13"/>
      <c r="G15" s="1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1"/>
      <c r="B16" s="3" t="s">
        <v>53</v>
      </c>
      <c r="C16" s="1"/>
      <c r="D16" s="1"/>
      <c r="E16" s="31"/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8" ht="15.75">
      <c r="A17" s="1"/>
      <c r="B17" s="33" t="s">
        <v>44</v>
      </c>
      <c r="C17" s="1"/>
      <c r="D17" s="34">
        <v>10</v>
      </c>
      <c r="E17" s="35">
        <v>6</v>
      </c>
      <c r="F17" s="149"/>
      <c r="G17" s="12" t="s">
        <v>61</v>
      </c>
      <c r="H17" s="36">
        <f>(C12-2*C13-E17/8*2.54)/(D17/2-1)*10</f>
        <v>100.2375</v>
      </c>
      <c r="I17" s="13" t="s">
        <v>46</v>
      </c>
      <c r="K17" s="1"/>
      <c r="L17" s="1"/>
      <c r="M17" s="1"/>
      <c r="N17" s="37"/>
      <c r="O17" s="1"/>
      <c r="P17" s="1"/>
      <c r="Q17" s="1"/>
      <c r="R17" s="1"/>
    </row>
    <row r="18" spans="1:18" ht="15.75">
      <c r="A18" s="1"/>
      <c r="B18" s="33" t="s">
        <v>43</v>
      </c>
      <c r="C18" s="1"/>
      <c r="D18" s="34">
        <v>6</v>
      </c>
      <c r="E18" s="35">
        <v>6</v>
      </c>
      <c r="F18" s="149"/>
      <c r="G18" s="12" t="s">
        <v>62</v>
      </c>
      <c r="H18" s="36">
        <f>(C11-2*C13-E18/8*2.54)/(D18/2+1)*10</f>
        <v>100.2375</v>
      </c>
      <c r="I18" s="13" t="s">
        <v>46</v>
      </c>
      <c r="J18" s="38"/>
      <c r="K18" s="1"/>
      <c r="L18" s="1"/>
      <c r="M18" s="1"/>
      <c r="N18" s="37"/>
      <c r="O18" s="1"/>
      <c r="P18" s="1"/>
      <c r="Q18" s="1"/>
      <c r="R18" s="1"/>
    </row>
    <row r="19" spans="1:18" ht="12.75">
      <c r="A19" s="1"/>
      <c r="B19" s="33" t="s">
        <v>45</v>
      </c>
      <c r="C19" s="1"/>
      <c r="D19" s="39">
        <v>3</v>
      </c>
      <c r="E19" s="40">
        <v>250</v>
      </c>
      <c r="F19" s="1" t="s">
        <v>46</v>
      </c>
      <c r="G19" s="13" t="s">
        <v>47</v>
      </c>
      <c r="H19" s="41">
        <f>ROUND(MIN((16*MIN(E17/8*25.4,E18/8*25.4)),(48*D19/8*25.4),(MIN(C11,C12)*10)),0)</f>
        <v>305</v>
      </c>
      <c r="I19" s="13" t="s">
        <v>48</v>
      </c>
      <c r="K19" s="1"/>
      <c r="L19" s="1"/>
      <c r="M19" s="1"/>
      <c r="N19" s="1"/>
      <c r="O19" s="1"/>
      <c r="P19" s="1"/>
      <c r="Q19" s="1"/>
      <c r="R19" s="1"/>
    </row>
    <row r="20" spans="1:19" ht="13.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1"/>
      <c r="B21" s="42"/>
      <c r="C21" s="43" t="s">
        <v>63</v>
      </c>
      <c r="D21" s="44">
        <f>IF(G7&lt;=28,0.85,MAX(0.85-0.05*(G7-27.579)/6.894,0.65))</f>
        <v>0.85</v>
      </c>
      <c r="E21" s="144" t="s">
        <v>33</v>
      </c>
      <c r="F21" s="145"/>
      <c r="G21" s="146"/>
      <c r="H21" s="144" t="s">
        <v>34</v>
      </c>
      <c r="I21" s="145"/>
      <c r="J21" s="146"/>
      <c r="K21" s="144" t="s">
        <v>25</v>
      </c>
      <c r="L21" s="146"/>
      <c r="M21" s="45"/>
      <c r="N21" s="46"/>
      <c r="O21" s="47"/>
      <c r="P21" s="48"/>
      <c r="Q21" s="49">
        <v>0</v>
      </c>
      <c r="R21" s="50">
        <v>0</v>
      </c>
      <c r="S21" s="51"/>
    </row>
    <row r="22" spans="1:19" ht="15.75">
      <c r="A22" s="1"/>
      <c r="B22" s="52" t="s">
        <v>26</v>
      </c>
      <c r="C22" s="53" t="s">
        <v>24</v>
      </c>
      <c r="D22" s="54" t="s">
        <v>16</v>
      </c>
      <c r="E22" s="55" t="s">
        <v>64</v>
      </c>
      <c r="F22" s="56" t="s">
        <v>14</v>
      </c>
      <c r="G22" s="57" t="s">
        <v>18</v>
      </c>
      <c r="H22" s="55" t="s">
        <v>65</v>
      </c>
      <c r="I22" s="56" t="s">
        <v>15</v>
      </c>
      <c r="J22" s="57" t="s">
        <v>21</v>
      </c>
      <c r="K22" s="147" t="s">
        <v>40</v>
      </c>
      <c r="L22" s="148"/>
      <c r="M22" s="53" t="s">
        <v>13</v>
      </c>
      <c r="N22" s="58" t="s">
        <v>17</v>
      </c>
      <c r="O22" s="57" t="s">
        <v>22</v>
      </c>
      <c r="P22" s="59" t="s">
        <v>27</v>
      </c>
      <c r="Q22" s="55" t="s">
        <v>54</v>
      </c>
      <c r="R22" s="60" t="s">
        <v>55</v>
      </c>
      <c r="S22" s="51"/>
    </row>
    <row r="23" spans="1:19" ht="13.5" thickBot="1">
      <c r="A23" s="1"/>
      <c r="B23" s="61"/>
      <c r="C23" s="62" t="s">
        <v>23</v>
      </c>
      <c r="D23" s="63" t="s">
        <v>23</v>
      </c>
      <c r="E23" s="64"/>
      <c r="F23" s="65" t="s">
        <v>20</v>
      </c>
      <c r="G23" s="66" t="s">
        <v>19</v>
      </c>
      <c r="H23" s="64"/>
      <c r="I23" s="65" t="s">
        <v>20</v>
      </c>
      <c r="J23" s="66" t="s">
        <v>29</v>
      </c>
      <c r="K23" s="142" t="s">
        <v>29</v>
      </c>
      <c r="L23" s="143"/>
      <c r="M23" s="62" t="s">
        <v>29</v>
      </c>
      <c r="N23" s="65" t="s">
        <v>30</v>
      </c>
      <c r="O23" s="66" t="s">
        <v>23</v>
      </c>
      <c r="P23" s="67"/>
      <c r="Q23" s="62" t="s">
        <v>29</v>
      </c>
      <c r="R23" s="68" t="s">
        <v>30</v>
      </c>
      <c r="S23" s="51"/>
    </row>
    <row r="24" spans="1:19" ht="13.5">
      <c r="A24" s="69"/>
      <c r="B24" s="70" t="s">
        <v>66</v>
      </c>
      <c r="C24" s="71"/>
      <c r="D24" s="72"/>
      <c r="E24" s="73"/>
      <c r="F24" s="74"/>
      <c r="G24" s="74"/>
      <c r="H24" s="73"/>
      <c r="I24" s="74"/>
      <c r="J24" s="74"/>
      <c r="K24" s="75"/>
      <c r="L24" s="76" t="s">
        <v>38</v>
      </c>
      <c r="M24" s="77">
        <f>0.85*(G7/100)*(F13-F12)+F12*(G8/100)</f>
        <v>713.0946465611145</v>
      </c>
      <c r="N24" s="78">
        <v>0</v>
      </c>
      <c r="O24" s="79">
        <v>0</v>
      </c>
      <c r="P24" s="80">
        <f aca="true" t="shared" si="0" ref="P24:P43">IF(M24&gt;MIN((0.1*$G$7/100*$F$13),(0.65*$M$33)),0.65,IF(M24&lt;=0,0.9,-0.25/(0.1*$G$7/100*$F$13)*M24+0.9))</f>
        <v>0.65</v>
      </c>
      <c r="Q24" s="81">
        <f>P24*M24</f>
        <v>463.5115202647244</v>
      </c>
      <c r="R24" s="82">
        <v>0</v>
      </c>
      <c r="S24" s="83"/>
    </row>
    <row r="25" spans="1:19" ht="12.75">
      <c r="A25" s="69"/>
      <c r="B25" s="84" t="s">
        <v>35</v>
      </c>
      <c r="C25" s="85"/>
      <c r="D25" s="86"/>
      <c r="E25" s="87"/>
      <c r="F25" s="88"/>
      <c r="G25" s="88"/>
      <c r="H25" s="87"/>
      <c r="I25" s="88"/>
      <c r="J25" s="88"/>
      <c r="K25" s="89"/>
      <c r="L25" s="90" t="s">
        <v>39</v>
      </c>
      <c r="M25" s="77">
        <f>0.8*M24</f>
        <v>570.4757172488916</v>
      </c>
      <c r="N25" s="91">
        <v>0</v>
      </c>
      <c r="O25" s="79">
        <v>0</v>
      </c>
      <c r="P25" s="80">
        <f t="shared" si="0"/>
        <v>0.65</v>
      </c>
      <c r="Q25" s="81">
        <f>P25*M25</f>
        <v>370.8092162117795</v>
      </c>
      <c r="R25" s="82">
        <v>0</v>
      </c>
      <c r="S25" s="83"/>
    </row>
    <row r="26" spans="1:19" ht="13.5">
      <c r="A26" s="69"/>
      <c r="B26" s="92">
        <v>1</v>
      </c>
      <c r="C26" s="93">
        <f>12/10*$C$11</f>
        <v>60</v>
      </c>
      <c r="D26" s="94">
        <f aca="true" t="shared" si="1" ref="D26:D42">C26*$D$21</f>
        <v>51</v>
      </c>
      <c r="E26" s="95">
        <f aca="true" t="shared" si="2" ref="E26:E42">$J$7*($C$14-C26)/C26</f>
        <v>-0.0007</v>
      </c>
      <c r="F26" s="96">
        <f aca="true" t="shared" si="3" ref="F26:F42">IF(E26*$J$8&gt;$G$8,$G$8,E26*$J$8)</f>
        <v>-147</v>
      </c>
      <c r="G26" s="97">
        <f aca="true" t="shared" si="4" ref="G26:G42">$F$11*(F26/100)</f>
        <v>-27.233943540618323</v>
      </c>
      <c r="H26" s="95">
        <f aca="true" t="shared" si="5" ref="H26:H42">$J$7*(C26-$C$13)/C26</f>
        <v>0.0028</v>
      </c>
      <c r="I26" s="96">
        <f aca="true" t="shared" si="6" ref="I26:I42">IF(H26*$J$8&gt;$G$8,$G$8,H26*$J$8)</f>
        <v>420</v>
      </c>
      <c r="J26" s="97">
        <f aca="true" t="shared" si="7" ref="J26:J42">$F$11*(I26/100)</f>
        <v>77.8112672589095</v>
      </c>
      <c r="K26" s="134">
        <f aca="true" t="shared" si="8" ref="K26:K42">0.85*($G$7/100)*D26*$C$12</f>
        <v>541.875</v>
      </c>
      <c r="L26" s="135"/>
      <c r="M26" s="98">
        <f aca="true" t="shared" si="9" ref="M26:M42">K26+J26-G26</f>
        <v>646.9202107995278</v>
      </c>
      <c r="N26" s="99">
        <f>(K26*($C$11/2-D26/2)+J26*($C$11/2-$C$13)+G26*($C$14-$C$11/2))/100</f>
        <v>7.911862980841146</v>
      </c>
      <c r="O26" s="100">
        <f aca="true" t="shared" si="10" ref="O26:O39">N26/M26</f>
        <v>0.012230044522898558</v>
      </c>
      <c r="P26" s="101">
        <f t="shared" si="0"/>
        <v>0.65</v>
      </c>
      <c r="Q26" s="102">
        <f>IF(M26&gt;=$M$25,$Q$25,P26*M26)</f>
        <v>370.8092162117795</v>
      </c>
      <c r="R26" s="103">
        <f>P26*N26</f>
        <v>5.142710937546745</v>
      </c>
      <c r="S26" s="83"/>
    </row>
    <row r="27" spans="1:19" ht="13.5">
      <c r="A27" s="69"/>
      <c r="B27" s="92">
        <v>2</v>
      </c>
      <c r="C27" s="104">
        <f aca="true" t="shared" si="11" ref="C27:C32">C26-($C$26-$C$33)/7</f>
        <v>55.371428571428574</v>
      </c>
      <c r="D27" s="94">
        <f t="shared" si="1"/>
        <v>47.065714285714286</v>
      </c>
      <c r="E27" s="95">
        <f t="shared" si="2"/>
        <v>-0.0005077399380804954</v>
      </c>
      <c r="F27" s="105">
        <f t="shared" si="3"/>
        <v>-106.62538699690404</v>
      </c>
      <c r="G27" s="97">
        <f t="shared" si="4"/>
        <v>-19.753944010001796</v>
      </c>
      <c r="H27" s="95">
        <f t="shared" si="5"/>
        <v>0.00278328173374613</v>
      </c>
      <c r="I27" s="105">
        <f t="shared" si="6"/>
        <v>420</v>
      </c>
      <c r="J27" s="97">
        <f t="shared" si="7"/>
        <v>77.8112672589095</v>
      </c>
      <c r="K27" s="136">
        <f t="shared" si="8"/>
        <v>500.0732142857143</v>
      </c>
      <c r="L27" s="137"/>
      <c r="M27" s="98">
        <f t="shared" si="9"/>
        <v>597.6384255546255</v>
      </c>
      <c r="N27" s="99">
        <f>(K27*($C$11/2-D27/2)+J27*($C$11/2-$C$13)+G27*($C$14-$C$11/2))/100</f>
        <v>19.528826326148167</v>
      </c>
      <c r="O27" s="100">
        <f t="shared" si="10"/>
        <v>0.03267665781032211</v>
      </c>
      <c r="P27" s="101">
        <f t="shared" si="0"/>
        <v>0.65</v>
      </c>
      <c r="Q27" s="102">
        <f aca="true" t="shared" si="12" ref="Q27:Q42">IF(M27&gt;=$M$25,$Q$25,P27*M27)</f>
        <v>370.8092162117795</v>
      </c>
      <c r="R27" s="103">
        <f>P27*N27</f>
        <v>12.69373711199631</v>
      </c>
      <c r="S27" s="83"/>
    </row>
    <row r="28" spans="1:19" ht="13.5">
      <c r="A28" s="69"/>
      <c r="B28" s="92">
        <v>3</v>
      </c>
      <c r="C28" s="104">
        <f t="shared" si="11"/>
        <v>50.74285714285715</v>
      </c>
      <c r="D28" s="94">
        <f t="shared" si="1"/>
        <v>43.13142857142857</v>
      </c>
      <c r="E28" s="95">
        <f t="shared" si="2"/>
        <v>-0.00028040540540540565</v>
      </c>
      <c r="F28" s="105">
        <f t="shared" si="3"/>
        <v>-58.88513513513519</v>
      </c>
      <c r="G28" s="97">
        <f t="shared" si="4"/>
        <v>-10.909349970421443</v>
      </c>
      <c r="H28" s="95">
        <f t="shared" si="5"/>
        <v>0.002763513513513514</v>
      </c>
      <c r="I28" s="105">
        <f t="shared" si="6"/>
        <v>420</v>
      </c>
      <c r="J28" s="97">
        <f t="shared" si="7"/>
        <v>77.8112672589095</v>
      </c>
      <c r="K28" s="136">
        <f t="shared" si="8"/>
        <v>458.27142857142854</v>
      </c>
      <c r="L28" s="137"/>
      <c r="M28" s="98">
        <f t="shared" si="9"/>
        <v>546.9920458007595</v>
      </c>
      <c r="N28" s="99">
        <f>(K28*($C$11/2-D28/2)+J28*($C$11/2-$C$13)+G28*($C$14-$C$11/2))/100</f>
        <v>29.78775283466412</v>
      </c>
      <c r="O28" s="100">
        <f t="shared" si="10"/>
        <v>0.05445737842687796</v>
      </c>
      <c r="P28" s="101">
        <f t="shared" si="0"/>
        <v>0.65</v>
      </c>
      <c r="Q28" s="102">
        <f>IF(M28&gt;=$M$25,$Q$25,P28*M28)</f>
        <v>355.54482977049366</v>
      </c>
      <c r="R28" s="103">
        <f>P28*N28</f>
        <v>19.362039342531677</v>
      </c>
      <c r="S28" s="83"/>
    </row>
    <row r="29" spans="1:19" ht="13.5">
      <c r="A29" s="69"/>
      <c r="B29" s="92">
        <v>4</v>
      </c>
      <c r="C29" s="104">
        <f t="shared" si="11"/>
        <v>46.11428571428572</v>
      </c>
      <c r="D29" s="94">
        <f t="shared" si="1"/>
        <v>39.197142857142865</v>
      </c>
      <c r="E29" s="95">
        <f t="shared" si="2"/>
        <v>-7.4349442379186505E-06</v>
      </c>
      <c r="F29" s="105">
        <f t="shared" si="3"/>
        <v>-1.5613382899629167</v>
      </c>
      <c r="G29" s="97">
        <f t="shared" si="4"/>
        <v>-0.28926121657588866</v>
      </c>
      <c r="H29" s="95">
        <f t="shared" si="5"/>
        <v>0.0027397769516728627</v>
      </c>
      <c r="I29" s="105">
        <f t="shared" si="6"/>
        <v>420</v>
      </c>
      <c r="J29" s="97">
        <f t="shared" si="7"/>
        <v>77.8112672589095</v>
      </c>
      <c r="K29" s="136">
        <f t="shared" si="8"/>
        <v>416.4696428571429</v>
      </c>
      <c r="L29" s="137"/>
      <c r="M29" s="98">
        <f t="shared" si="9"/>
        <v>494.57017133262826</v>
      </c>
      <c r="N29" s="99">
        <f aca="true" t="shared" si="13" ref="N29:N42">(K29*($C$11/2-D29/2)+J29*($C$11/2-$C$13)+G29*($C$14-$C$11/2))/100</f>
        <v>38.77493154950229</v>
      </c>
      <c r="O29" s="100">
        <f t="shared" si="10"/>
        <v>0.07840127407001223</v>
      </c>
      <c r="P29" s="101">
        <f t="shared" si="0"/>
        <v>0.65</v>
      </c>
      <c r="Q29" s="102">
        <f t="shared" si="12"/>
        <v>321.4706113662084</v>
      </c>
      <c r="R29" s="103">
        <f aca="true" t="shared" si="14" ref="R29:R43">P29*N29</f>
        <v>25.20370550717649</v>
      </c>
      <c r="S29" s="83"/>
    </row>
    <row r="30" spans="1:19" ht="13.5">
      <c r="A30" s="69"/>
      <c r="B30" s="92">
        <v>5</v>
      </c>
      <c r="C30" s="104">
        <f t="shared" si="11"/>
        <v>41.485714285714295</v>
      </c>
      <c r="D30" s="94">
        <f t="shared" si="1"/>
        <v>35.26285714285715</v>
      </c>
      <c r="E30" s="95">
        <f t="shared" si="2"/>
        <v>0.00032644628099173486</v>
      </c>
      <c r="F30" s="105">
        <f t="shared" si="3"/>
        <v>68.55371900826432</v>
      </c>
      <c r="G30" s="97">
        <f t="shared" si="4"/>
        <v>12.700599407962475</v>
      </c>
      <c r="H30" s="95">
        <f t="shared" si="5"/>
        <v>0.0027107438016528923</v>
      </c>
      <c r="I30" s="105">
        <f t="shared" si="6"/>
        <v>420</v>
      </c>
      <c r="J30" s="97">
        <f t="shared" si="7"/>
        <v>77.8112672589095</v>
      </c>
      <c r="K30" s="136">
        <f t="shared" si="8"/>
        <v>374.6678571428572</v>
      </c>
      <c r="L30" s="137"/>
      <c r="M30" s="98">
        <f t="shared" si="9"/>
        <v>439.7785249938042</v>
      </c>
      <c r="N30" s="99">
        <f t="shared" si="13"/>
        <v>46.61516067351249</v>
      </c>
      <c r="O30" s="100">
        <f t="shared" si="10"/>
        <v>0.1059969007676517</v>
      </c>
      <c r="P30" s="101">
        <f t="shared" si="0"/>
        <v>0.65</v>
      </c>
      <c r="Q30" s="102">
        <f t="shared" si="12"/>
        <v>285.85604124597273</v>
      </c>
      <c r="R30" s="103">
        <f t="shared" si="14"/>
        <v>30.29985443778312</v>
      </c>
      <c r="S30" s="83"/>
    </row>
    <row r="31" spans="1:19" ht="13.5">
      <c r="A31" s="69"/>
      <c r="B31" s="92">
        <v>6</v>
      </c>
      <c r="C31" s="104">
        <f t="shared" si="11"/>
        <v>36.85714285714287</v>
      </c>
      <c r="D31" s="94">
        <f t="shared" si="1"/>
        <v>31.328571428571436</v>
      </c>
      <c r="E31" s="95">
        <f t="shared" si="2"/>
        <v>0.0007441860465116268</v>
      </c>
      <c r="F31" s="105">
        <f t="shared" si="3"/>
        <v>156.27906976744163</v>
      </c>
      <c r="G31" s="97">
        <f t="shared" si="4"/>
        <v>28.953029677733724</v>
      </c>
      <c r="H31" s="95">
        <f t="shared" si="5"/>
        <v>0.002674418604651163</v>
      </c>
      <c r="I31" s="105">
        <f t="shared" si="6"/>
        <v>420</v>
      </c>
      <c r="J31" s="97">
        <f t="shared" si="7"/>
        <v>77.8112672589095</v>
      </c>
      <c r="K31" s="136">
        <f t="shared" si="8"/>
        <v>332.8660714285715</v>
      </c>
      <c r="L31" s="137"/>
      <c r="M31" s="98">
        <f t="shared" si="9"/>
        <v>381.72430900974723</v>
      </c>
      <c r="N31" s="99">
        <f t="shared" si="13"/>
        <v>53.49592773934813</v>
      </c>
      <c r="O31" s="100">
        <f t="shared" si="10"/>
        <v>0.14014283732184876</v>
      </c>
      <c r="P31" s="101">
        <f t="shared" si="0"/>
        <v>0.65</v>
      </c>
      <c r="Q31" s="102">
        <f t="shared" si="12"/>
        <v>248.1208008563357</v>
      </c>
      <c r="R31" s="103">
        <f t="shared" si="14"/>
        <v>34.77235303057629</v>
      </c>
      <c r="S31" s="83"/>
    </row>
    <row r="32" spans="1:19" ht="13.5">
      <c r="A32" s="69"/>
      <c r="B32" s="92">
        <v>7</v>
      </c>
      <c r="C32" s="104">
        <f t="shared" si="11"/>
        <v>32.22857142857144</v>
      </c>
      <c r="D32" s="94">
        <f t="shared" si="1"/>
        <v>27.394285714285726</v>
      </c>
      <c r="E32" s="95">
        <f t="shared" si="2"/>
        <v>0.0012819148936170197</v>
      </c>
      <c r="F32" s="105">
        <f t="shared" si="3"/>
        <v>269.20212765957416</v>
      </c>
      <c r="G32" s="97">
        <f t="shared" si="4"/>
        <v>49.87371119520523</v>
      </c>
      <c r="H32" s="95">
        <f t="shared" si="5"/>
        <v>0.002627659574468085</v>
      </c>
      <c r="I32" s="105">
        <f t="shared" si="6"/>
        <v>420</v>
      </c>
      <c r="J32" s="97">
        <f t="shared" si="7"/>
        <v>77.8112672589095</v>
      </c>
      <c r="K32" s="140">
        <f t="shared" si="8"/>
        <v>291.0642857142858</v>
      </c>
      <c r="L32" s="141"/>
      <c r="M32" s="98">
        <f t="shared" si="9"/>
        <v>319.0018417779901</v>
      </c>
      <c r="N32" s="99">
        <f t="shared" si="13"/>
        <v>59.71242588352734</v>
      </c>
      <c r="O32" s="100">
        <f t="shared" si="10"/>
        <v>0.1871852073038635</v>
      </c>
      <c r="P32" s="101">
        <f t="shared" si="0"/>
        <v>0.65</v>
      </c>
      <c r="Q32" s="102">
        <f t="shared" si="12"/>
        <v>207.35119715569357</v>
      </c>
      <c r="R32" s="103">
        <f t="shared" si="14"/>
        <v>38.81307682429277</v>
      </c>
      <c r="S32" s="83"/>
    </row>
    <row r="33" spans="1:19" ht="13.5">
      <c r="A33" s="69"/>
      <c r="B33" s="84" t="s">
        <v>36</v>
      </c>
      <c r="C33" s="106">
        <f>C14*(J7/(J7+G8/J8))</f>
        <v>27.599999999999998</v>
      </c>
      <c r="D33" s="107">
        <f t="shared" si="1"/>
        <v>23.459999999999997</v>
      </c>
      <c r="E33" s="108">
        <f t="shared" si="2"/>
        <v>0.0020000000000000005</v>
      </c>
      <c r="F33" s="109">
        <f t="shared" si="3"/>
        <v>420.0000000000001</v>
      </c>
      <c r="G33" s="110">
        <f t="shared" si="4"/>
        <v>77.81126725890952</v>
      </c>
      <c r="H33" s="108">
        <f t="shared" si="5"/>
        <v>0.002565217391304348</v>
      </c>
      <c r="I33" s="109">
        <f t="shared" si="6"/>
        <v>420</v>
      </c>
      <c r="J33" s="110">
        <f t="shared" si="7"/>
        <v>77.8112672589095</v>
      </c>
      <c r="K33" s="138">
        <f t="shared" si="8"/>
        <v>249.2625</v>
      </c>
      <c r="L33" s="139"/>
      <c r="M33" s="111">
        <f t="shared" si="9"/>
        <v>249.26249999999993</v>
      </c>
      <c r="N33" s="112">
        <f t="shared" si="13"/>
        <v>65.757865998742</v>
      </c>
      <c r="O33" s="113">
        <f t="shared" si="10"/>
        <v>0.26380970261769027</v>
      </c>
      <c r="P33" s="114">
        <f t="shared" si="0"/>
        <v>0.65</v>
      </c>
      <c r="Q33" s="115">
        <f t="shared" si="12"/>
        <v>162.02062499999997</v>
      </c>
      <c r="R33" s="116">
        <f>P33*N33</f>
        <v>42.742612899182305</v>
      </c>
      <c r="S33" s="83"/>
    </row>
    <row r="34" spans="1:19" ht="13.5">
      <c r="A34" s="69"/>
      <c r="B34" s="92">
        <v>8</v>
      </c>
      <c r="C34" s="104">
        <f aca="true" t="shared" si="15" ref="C34:C39">C33-($C$33-$C$40)/7</f>
        <v>24.421666229791615</v>
      </c>
      <c r="D34" s="94">
        <f t="shared" si="1"/>
        <v>20.75841629532287</v>
      </c>
      <c r="E34" s="95">
        <f t="shared" si="2"/>
        <v>0.002650720090165507</v>
      </c>
      <c r="F34" s="105">
        <f t="shared" si="3"/>
        <v>420</v>
      </c>
      <c r="G34" s="97">
        <f t="shared" si="4"/>
        <v>77.8112672589095</v>
      </c>
      <c r="H34" s="95">
        <f t="shared" si="5"/>
        <v>0.0025086330356377824</v>
      </c>
      <c r="I34" s="105">
        <f t="shared" si="6"/>
        <v>420</v>
      </c>
      <c r="J34" s="97">
        <f t="shared" si="7"/>
        <v>77.8112672589095</v>
      </c>
      <c r="K34" s="134">
        <f t="shared" si="8"/>
        <v>220.5581731378055</v>
      </c>
      <c r="L34" s="135"/>
      <c r="M34" s="98">
        <f t="shared" si="9"/>
        <v>220.5581731378055</v>
      </c>
      <c r="N34" s="99">
        <f t="shared" si="13"/>
        <v>64.92808365654103</v>
      </c>
      <c r="O34" s="100">
        <f t="shared" si="10"/>
        <v>0.294380764642867</v>
      </c>
      <c r="P34" s="101">
        <f t="shared" si="0"/>
        <v>0.65</v>
      </c>
      <c r="Q34" s="102">
        <f>IF(M34&gt;=$M$25,$Q$25,P34*M34)</f>
        <v>143.36281253957358</v>
      </c>
      <c r="R34" s="103">
        <f t="shared" si="14"/>
        <v>42.20325437675167</v>
      </c>
      <c r="S34" s="83"/>
    </row>
    <row r="35" spans="1:19" ht="13.5">
      <c r="A35" s="69"/>
      <c r="B35" s="92">
        <v>9</v>
      </c>
      <c r="C35" s="104">
        <f t="shared" si="15"/>
        <v>21.243332459583232</v>
      </c>
      <c r="D35" s="94">
        <f t="shared" si="1"/>
        <v>18.056832590645747</v>
      </c>
      <c r="E35" s="95">
        <f t="shared" si="2"/>
        <v>0.0034961559238671064</v>
      </c>
      <c r="F35" s="105">
        <f t="shared" si="3"/>
        <v>420</v>
      </c>
      <c r="G35" s="97">
        <f t="shared" si="4"/>
        <v>77.8112672589095</v>
      </c>
      <c r="H35" s="95">
        <f t="shared" si="5"/>
        <v>0.002435116876185469</v>
      </c>
      <c r="I35" s="105">
        <f t="shared" si="6"/>
        <v>420</v>
      </c>
      <c r="J35" s="97">
        <f t="shared" si="7"/>
        <v>77.8112672589095</v>
      </c>
      <c r="K35" s="136">
        <f t="shared" si="8"/>
        <v>191.85384627561106</v>
      </c>
      <c r="L35" s="137"/>
      <c r="M35" s="98">
        <f t="shared" si="9"/>
        <v>191.8538462756111</v>
      </c>
      <c r="N35" s="99">
        <f t="shared" si="13"/>
        <v>63.322829897293786</v>
      </c>
      <c r="O35" s="100">
        <f t="shared" si="10"/>
        <v>0.3300576513140437</v>
      </c>
      <c r="P35" s="101">
        <f t="shared" si="0"/>
        <v>0.65</v>
      </c>
      <c r="Q35" s="102">
        <f t="shared" si="12"/>
        <v>124.70500007914721</v>
      </c>
      <c r="R35" s="103">
        <f t="shared" si="14"/>
        <v>41.15983943324096</v>
      </c>
      <c r="S35" s="83"/>
    </row>
    <row r="36" spans="1:19" ht="13.5">
      <c r="A36" s="69"/>
      <c r="B36" s="92">
        <v>10</v>
      </c>
      <c r="C36" s="104">
        <f t="shared" si="15"/>
        <v>18.06499868937485</v>
      </c>
      <c r="D36" s="94">
        <f t="shared" si="1"/>
        <v>15.355248885968622</v>
      </c>
      <c r="E36" s="95">
        <f t="shared" si="2"/>
        <v>0.004639081650261419</v>
      </c>
      <c r="F36" s="105">
        <f t="shared" si="3"/>
        <v>420</v>
      </c>
      <c r="G36" s="97">
        <f t="shared" si="4"/>
        <v>77.8112672589095</v>
      </c>
      <c r="H36" s="95">
        <f t="shared" si="5"/>
        <v>0.0023357320304120506</v>
      </c>
      <c r="I36" s="105">
        <f t="shared" si="6"/>
        <v>420</v>
      </c>
      <c r="J36" s="97">
        <f t="shared" si="7"/>
        <v>77.8112672589095</v>
      </c>
      <c r="K36" s="136">
        <f t="shared" si="8"/>
        <v>163.1495194134166</v>
      </c>
      <c r="L36" s="137"/>
      <c r="M36" s="98">
        <f t="shared" si="9"/>
        <v>163.1495194134166</v>
      </c>
      <c r="N36" s="99">
        <f t="shared" si="13"/>
        <v>60.942104721000234</v>
      </c>
      <c r="O36" s="100">
        <f t="shared" si="10"/>
        <v>0.37353530025776255</v>
      </c>
      <c r="P36" s="101">
        <f t="shared" si="0"/>
        <v>0.65</v>
      </c>
      <c r="Q36" s="102">
        <f t="shared" si="12"/>
        <v>106.0471876187208</v>
      </c>
      <c r="R36" s="103">
        <f t="shared" si="14"/>
        <v>39.612368068650156</v>
      </c>
      <c r="S36" s="83"/>
    </row>
    <row r="37" spans="1:19" ht="13.5">
      <c r="A37" s="69"/>
      <c r="B37" s="92">
        <v>11</v>
      </c>
      <c r="C37" s="104">
        <f t="shared" si="15"/>
        <v>14.886664919166467</v>
      </c>
      <c r="D37" s="94">
        <f t="shared" si="1"/>
        <v>12.653665181291498</v>
      </c>
      <c r="E37" s="95">
        <f t="shared" si="2"/>
        <v>0.006270041392704827</v>
      </c>
      <c r="F37" s="105">
        <f t="shared" si="3"/>
        <v>420</v>
      </c>
      <c r="G37" s="97">
        <f t="shared" si="4"/>
        <v>77.8112672589095</v>
      </c>
      <c r="H37" s="95">
        <f t="shared" si="5"/>
        <v>0.002193909444112624</v>
      </c>
      <c r="I37" s="105">
        <f t="shared" si="6"/>
        <v>420</v>
      </c>
      <c r="J37" s="97">
        <f t="shared" si="7"/>
        <v>77.8112672589095</v>
      </c>
      <c r="K37" s="136">
        <f t="shared" si="8"/>
        <v>134.44519255122216</v>
      </c>
      <c r="L37" s="137"/>
      <c r="M37" s="98">
        <f t="shared" si="9"/>
        <v>134.4451925512222</v>
      </c>
      <c r="N37" s="99">
        <f t="shared" si="13"/>
        <v>57.78590812766037</v>
      </c>
      <c r="O37" s="100">
        <f t="shared" si="10"/>
        <v>0.429810148143784</v>
      </c>
      <c r="P37" s="101">
        <f t="shared" si="0"/>
        <v>0.65</v>
      </c>
      <c r="Q37" s="102">
        <f t="shared" si="12"/>
        <v>87.38937515829443</v>
      </c>
      <c r="R37" s="103">
        <f t="shared" si="14"/>
        <v>37.56084028297924</v>
      </c>
      <c r="S37" s="83"/>
    </row>
    <row r="38" spans="1:19" ht="13.5">
      <c r="A38" s="69"/>
      <c r="B38" s="92">
        <v>12</v>
      </c>
      <c r="C38" s="104">
        <f t="shared" si="15"/>
        <v>11.708331148958084</v>
      </c>
      <c r="D38" s="94">
        <f t="shared" si="1"/>
        <v>9.95208147661437</v>
      </c>
      <c r="E38" s="95">
        <f t="shared" si="2"/>
        <v>0.008786479067281978</v>
      </c>
      <c r="F38" s="105">
        <f t="shared" si="3"/>
        <v>420</v>
      </c>
      <c r="G38" s="97">
        <f t="shared" si="4"/>
        <v>77.8112672589095</v>
      </c>
      <c r="H38" s="95">
        <f t="shared" si="5"/>
        <v>0.001975088776758089</v>
      </c>
      <c r="I38" s="105">
        <f t="shared" si="6"/>
        <v>414.7686431191987</v>
      </c>
      <c r="J38" s="97">
        <f t="shared" si="7"/>
        <v>76.84208033419816</v>
      </c>
      <c r="K38" s="136">
        <f t="shared" si="8"/>
        <v>105.7408656890277</v>
      </c>
      <c r="L38" s="137"/>
      <c r="M38" s="98">
        <f t="shared" si="9"/>
        <v>104.77167876431638</v>
      </c>
      <c r="N38" s="99">
        <f>(K38*($C$11/2-D38/2)+J38*($C$11/2-$C$13)+G38*($C$14-$C$11/2))/100</f>
        <v>53.65071086308483</v>
      </c>
      <c r="O38" s="100">
        <f t="shared" si="10"/>
        <v>0.5120726468817205</v>
      </c>
      <c r="P38" s="101">
        <f t="shared" si="0"/>
        <v>0.65</v>
      </c>
      <c r="Q38" s="102">
        <f>IF(M38&gt;=$M$25,$Q$25,P38*M38)</f>
        <v>68.10159119680564</v>
      </c>
      <c r="R38" s="103">
        <f>P38*N38</f>
        <v>34.87296206100514</v>
      </c>
      <c r="S38" s="83"/>
    </row>
    <row r="39" spans="1:19" ht="13.5">
      <c r="A39" s="69"/>
      <c r="B39" s="92">
        <v>13</v>
      </c>
      <c r="C39" s="104">
        <f t="shared" si="15"/>
        <v>8.529997378749702</v>
      </c>
      <c r="D39" s="94">
        <f t="shared" si="1"/>
        <v>7.250497771937246</v>
      </c>
      <c r="E39" s="95">
        <f t="shared" si="2"/>
        <v>0.013178199578793726</v>
      </c>
      <c r="F39" s="105">
        <f t="shared" si="3"/>
        <v>420</v>
      </c>
      <c r="G39" s="97">
        <f t="shared" si="4"/>
        <v>77.8112672589095</v>
      </c>
      <c r="H39" s="95">
        <f t="shared" si="5"/>
        <v>0.0015932000366266326</v>
      </c>
      <c r="I39" s="105">
        <f t="shared" si="6"/>
        <v>334.57200769159283</v>
      </c>
      <c r="J39" s="97">
        <f t="shared" si="7"/>
        <v>61.984456923429654</v>
      </c>
      <c r="K39" s="136">
        <f t="shared" si="8"/>
        <v>77.03653882683324</v>
      </c>
      <c r="L39" s="137"/>
      <c r="M39" s="98">
        <f t="shared" si="9"/>
        <v>61.2097284913534</v>
      </c>
      <c r="N39" s="99">
        <f>(K39*($C$11/2-D39/2)+J39*($C$11/2-$C$13)+G39*($C$14-$C$11/2))/100</f>
        <v>45.82347051939097</v>
      </c>
      <c r="O39" s="100">
        <f t="shared" si="10"/>
        <v>0.7486305142795083</v>
      </c>
      <c r="P39" s="101">
        <f t="shared" si="0"/>
        <v>0.6551610860345864</v>
      </c>
      <c r="Q39" s="102">
        <f>IF(M39&gt;=$M$25,$Q$25,P39*M39)</f>
        <v>40.10223219427726</v>
      </c>
      <c r="R39" s="103">
        <f>P39*N39</f>
        <v>30.021754711358046</v>
      </c>
      <c r="S39" s="83"/>
    </row>
    <row r="40" spans="1:19" ht="13.5">
      <c r="A40" s="117"/>
      <c r="B40" s="84" t="s">
        <v>31</v>
      </c>
      <c r="C40" s="118">
        <f>(-(F11*J7*(J8*10)-F11*(G8*10))+((F11*J7*(J8*10)-F11*(G8*10))^2-4*(0.85*(G7*10)*D21*C12)*(-F11*J7*(J8*10)*C13))^0.5)/(2*(0.85*(G7*10)*D21*C12))</f>
        <v>5.351663608541319</v>
      </c>
      <c r="D40" s="107">
        <f t="shared" si="1"/>
        <v>4.548914067260121</v>
      </c>
      <c r="E40" s="108">
        <f t="shared" si="2"/>
        <v>0.022786374124814268</v>
      </c>
      <c r="F40" s="109">
        <f t="shared" si="3"/>
        <v>420</v>
      </c>
      <c r="G40" s="110">
        <f t="shared" si="4"/>
        <v>77.8112672589095</v>
      </c>
      <c r="H40" s="108">
        <f t="shared" si="5"/>
        <v>0.0007577065978422379</v>
      </c>
      <c r="I40" s="109">
        <f t="shared" si="6"/>
        <v>159.11838554686994</v>
      </c>
      <c r="J40" s="110">
        <f t="shared" si="7"/>
        <v>29.479055294270715</v>
      </c>
      <c r="K40" s="138">
        <f t="shared" si="8"/>
        <v>48.33221196463878</v>
      </c>
      <c r="L40" s="139"/>
      <c r="M40" s="111">
        <f t="shared" si="9"/>
        <v>0</v>
      </c>
      <c r="N40" s="112">
        <f t="shared" si="13"/>
        <v>33.51472533278882</v>
      </c>
      <c r="O40" s="119" t="s">
        <v>28</v>
      </c>
      <c r="P40" s="114">
        <f t="shared" si="0"/>
        <v>0.9</v>
      </c>
      <c r="Q40" s="115">
        <f t="shared" si="12"/>
        <v>0</v>
      </c>
      <c r="R40" s="116">
        <f>P40*N40</f>
        <v>30.16325279950994</v>
      </c>
      <c r="S40" s="117"/>
    </row>
    <row r="41" spans="1:19" ht="13.5">
      <c r="A41" s="69"/>
      <c r="B41" s="92">
        <v>14</v>
      </c>
      <c r="C41" s="120">
        <f>C40-($C$40/4)</f>
        <v>4.013747706405989</v>
      </c>
      <c r="D41" s="94">
        <f t="shared" si="1"/>
        <v>3.4116855504450907</v>
      </c>
      <c r="E41" s="95">
        <f t="shared" si="2"/>
        <v>0.03138183216641902</v>
      </c>
      <c r="F41" s="105">
        <f t="shared" si="3"/>
        <v>420</v>
      </c>
      <c r="G41" s="97">
        <f t="shared" si="4"/>
        <v>77.8112672589095</v>
      </c>
      <c r="H41" s="95">
        <f t="shared" si="5"/>
        <v>1.0275463789650538E-05</v>
      </c>
      <c r="I41" s="105">
        <f t="shared" si="6"/>
        <v>2.157847395826613</v>
      </c>
      <c r="J41" s="97">
        <f t="shared" si="7"/>
        <v>0.39977342957287254</v>
      </c>
      <c r="K41" s="134">
        <f t="shared" si="8"/>
        <v>36.24915897347909</v>
      </c>
      <c r="L41" s="135"/>
      <c r="M41" s="98">
        <f t="shared" si="9"/>
        <v>-41.16233485585753</v>
      </c>
      <c r="N41" s="99">
        <f t="shared" si="13"/>
        <v>24.86825462852304</v>
      </c>
      <c r="O41" s="100">
        <f>N41/M41</f>
        <v>-0.6041507294376478</v>
      </c>
      <c r="P41" s="101">
        <f t="shared" si="0"/>
        <v>0.9</v>
      </c>
      <c r="Q41" s="102">
        <f t="shared" si="12"/>
        <v>-37.04610137027178</v>
      </c>
      <c r="R41" s="103">
        <f t="shared" si="14"/>
        <v>22.38142916567074</v>
      </c>
      <c r="S41" s="83"/>
    </row>
    <row r="42" spans="1:19" ht="13.5">
      <c r="A42" s="69"/>
      <c r="B42" s="92">
        <v>15</v>
      </c>
      <c r="C42" s="120">
        <f>C41-($C$40/4)</f>
        <v>2.6758318042706595</v>
      </c>
      <c r="D42" s="94">
        <f t="shared" si="1"/>
        <v>2.2744570336300605</v>
      </c>
      <c r="E42" s="95">
        <f t="shared" si="2"/>
        <v>0.04857274824962853</v>
      </c>
      <c r="F42" s="105">
        <f t="shared" si="3"/>
        <v>420</v>
      </c>
      <c r="G42" s="97">
        <f t="shared" si="4"/>
        <v>77.8112672589095</v>
      </c>
      <c r="H42" s="95">
        <f t="shared" si="5"/>
        <v>-0.001484586804315524</v>
      </c>
      <c r="I42" s="105">
        <f t="shared" si="6"/>
        <v>-311.76322890626005</v>
      </c>
      <c r="J42" s="97">
        <f t="shared" si="7"/>
        <v>-57.758790299822806</v>
      </c>
      <c r="K42" s="136">
        <f t="shared" si="8"/>
        <v>24.16610598231939</v>
      </c>
      <c r="L42" s="137"/>
      <c r="M42" s="98">
        <f t="shared" si="9"/>
        <v>-111.40395157641291</v>
      </c>
      <c r="N42" s="99">
        <f t="shared" si="13"/>
        <v>9.977722808353374</v>
      </c>
      <c r="O42" s="100">
        <f>N42/M42</f>
        <v>-0.08956345504054737</v>
      </c>
      <c r="P42" s="101">
        <f t="shared" si="0"/>
        <v>0.9</v>
      </c>
      <c r="Q42" s="102">
        <f t="shared" si="12"/>
        <v>-100.26355641877161</v>
      </c>
      <c r="R42" s="103">
        <f t="shared" si="14"/>
        <v>8.979950527518037</v>
      </c>
      <c r="S42" s="83"/>
    </row>
    <row r="43" spans="1:19" ht="12.75">
      <c r="A43" s="117"/>
      <c r="B43" s="84" t="s">
        <v>32</v>
      </c>
      <c r="C43" s="121" t="s">
        <v>37</v>
      </c>
      <c r="D43" s="88"/>
      <c r="E43" s="87"/>
      <c r="F43" s="88"/>
      <c r="G43" s="88"/>
      <c r="H43" s="87"/>
      <c r="I43" s="88"/>
      <c r="J43" s="88"/>
      <c r="K43" s="89"/>
      <c r="L43" s="122"/>
      <c r="M43" s="111">
        <f>-F12*G8/100</f>
        <v>-191.53542709885411</v>
      </c>
      <c r="N43" s="112">
        <v>0</v>
      </c>
      <c r="O43" s="119">
        <v>0</v>
      </c>
      <c r="P43" s="114">
        <f t="shared" si="0"/>
        <v>0.9</v>
      </c>
      <c r="Q43" s="115">
        <f>IF(M43&gt;=$M$25,$Q$25,P43*M43)</f>
        <v>-172.3818843889687</v>
      </c>
      <c r="R43" s="116">
        <f t="shared" si="14"/>
        <v>0</v>
      </c>
      <c r="S43" s="117"/>
    </row>
    <row r="44" spans="1:1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1" t="s">
        <v>67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1"/>
      <c r="O45" s="51"/>
      <c r="P45" s="123"/>
      <c r="Q45" s="51"/>
      <c r="R45" s="1"/>
      <c r="S45" s="1"/>
    </row>
    <row r="46" spans="1:1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1"/>
      <c r="O46" s="51"/>
      <c r="P46" s="51"/>
      <c r="Q46" s="51"/>
      <c r="R46" s="1"/>
      <c r="S46" s="1"/>
    </row>
    <row r="47" spans="1:19" ht="12.75">
      <c r="A47" s="1"/>
      <c r="B47" s="127" t="s">
        <v>68</v>
      </c>
      <c r="C47" s="128" t="s">
        <v>69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51"/>
      <c r="O47" s="51"/>
      <c r="P47" s="51"/>
      <c r="Q47" s="51"/>
      <c r="R47" s="1"/>
      <c r="S47" s="1"/>
    </row>
    <row r="48" spans="1:19" ht="12.75">
      <c r="A48" s="1"/>
      <c r="B48" s="129">
        <v>150</v>
      </c>
      <c r="C48" s="130">
        <v>20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51"/>
      <c r="O48" s="124"/>
      <c r="P48" s="51"/>
      <c r="Q48" s="51"/>
      <c r="R48" s="1"/>
      <c r="S48" s="1"/>
    </row>
    <row r="49" spans="1:19" ht="12.75">
      <c r="A49" s="1"/>
      <c r="B49" s="131">
        <v>120</v>
      </c>
      <c r="C49" s="132">
        <v>10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51"/>
      <c r="O49" s="125"/>
      <c r="P49" s="126"/>
      <c r="Q49" s="51"/>
      <c r="R49" s="1"/>
      <c r="S49" s="1"/>
    </row>
    <row r="50" spans="1:19" ht="12.75">
      <c r="A50" s="1"/>
      <c r="B50" s="131">
        <v>160</v>
      </c>
      <c r="C50" s="132">
        <v>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51"/>
      <c r="O50" s="51"/>
      <c r="P50" s="51"/>
      <c r="Q50" s="51"/>
      <c r="R50" s="1"/>
      <c r="S50" s="1"/>
    </row>
    <row r="51" spans="1:19" ht="12.75">
      <c r="A51" s="1"/>
      <c r="B51" s="131">
        <v>50</v>
      </c>
      <c r="C51" s="132">
        <v>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31"/>
      <c r="C52" s="1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31"/>
      <c r="C53" s="13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31"/>
      <c r="C54" s="1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31"/>
      <c r="C55" s="13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1"/>
      <c r="B56" s="131"/>
      <c r="C56" s="13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31"/>
      <c r="C57" s="13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31"/>
      <c r="C58" s="13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31"/>
      <c r="C59" s="13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31"/>
      <c r="C60" s="13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31"/>
      <c r="C61" s="13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31"/>
      <c r="C62" s="13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31"/>
      <c r="C63" s="13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31"/>
      <c r="C64" s="13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31"/>
      <c r="C65" s="13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31"/>
      <c r="C66" s="13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31"/>
      <c r="C67" s="13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31"/>
      <c r="C68" s="13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31"/>
      <c r="C69" s="13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31"/>
      <c r="C70" s="13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31"/>
      <c r="C71" s="13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31"/>
      <c r="C72" s="13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31"/>
      <c r="C73" s="13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31"/>
      <c r="C74" s="13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31"/>
      <c r="C75" s="13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31"/>
      <c r="C76" s="13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31"/>
      <c r="C77" s="13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31"/>
      <c r="C78" s="13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31"/>
      <c r="C79" s="13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31"/>
      <c r="C80" s="13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sheetProtection sheet="1" objects="1" scenarios="1" selectLockedCells="1"/>
  <mergeCells count="22">
    <mergeCell ref="E21:G21"/>
    <mergeCell ref="H21:J21"/>
    <mergeCell ref="K21:L21"/>
    <mergeCell ref="K22:L22"/>
    <mergeCell ref="K23:L23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41:L41"/>
    <mergeCell ref="K42:L42"/>
    <mergeCell ref="K37:L37"/>
    <mergeCell ref="K38:L38"/>
    <mergeCell ref="K39:L39"/>
    <mergeCell ref="K40:L40"/>
  </mergeCells>
  <dataValidations count="9">
    <dataValidation type="list" allowBlank="1" showInputMessage="1" showErrorMessage="1" sqref="D7">
      <formula1>"H_20,H_25,H_30"</formula1>
    </dataValidation>
    <dataValidation type="list" allowBlank="1" showInputMessage="1" showErrorMessage="1" sqref="H10 E9">
      <formula1>"ADN420,AM500"</formula1>
    </dataValidation>
    <dataValidation allowBlank="1" showInputMessage="1" showErrorMessage="1" prompt="Cantidad TOTAL de barras Extremas&#10;(incluyendo barras de las esquinas)" sqref="D17"/>
    <dataValidation allowBlank="1" showInputMessage="1" showErrorMessage="1" prompt="Cantidad TOTAL de barras Laterales&#10;(SIN incluir barras de las esquinas)" sqref="D18"/>
    <dataValidation allowBlank="1" showInputMessage="1" showErrorMessage="1" prompt="Diámetro Barras en Extremos" sqref="E17"/>
    <dataValidation allowBlank="1" showInputMessage="1" showErrorMessage="1" prompt="Diametro Barras en Laterales" sqref="E18"/>
    <dataValidation type="list" allowBlank="1" showInputMessage="1" showErrorMessage="1" sqref="D8">
      <formula1>"ADN420"</formula1>
    </dataValidation>
    <dataValidation allowBlank="1" showInputMessage="1" showErrorMessage="1" prompt="Diametro Estribos" sqref="D19"/>
    <dataValidation allowBlank="1" showInputMessage="1" showErrorMessage="1" prompt="separacion entre estribos" sqref="E19"/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http://cuevadelcivil.blogspot.com</dc:creator>
  <cp:keywords/>
  <dc:description/>
  <cp:lastModifiedBy>Techint</cp:lastModifiedBy>
  <dcterms:created xsi:type="dcterms:W3CDTF">2010-05-11T18:45:40Z</dcterms:created>
  <dcterms:modified xsi:type="dcterms:W3CDTF">2010-05-11T19:25:30Z</dcterms:modified>
  <cp:category/>
  <cp:version/>
  <cp:contentType/>
  <cp:contentStatus/>
</cp:coreProperties>
</file>