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50" windowWidth="18855" windowHeight="8415" activeTab="4"/>
  </bookViews>
  <sheets>
    <sheet name="PRE COL GRAVEDAD" sheetId="3" r:id="rId1"/>
    <sheet name="PRE COL SISMO" sheetId="5" r:id="rId2"/>
    <sheet name="PRE VIGAS" sheetId="7" r:id="rId3"/>
    <sheet name="ESPECTRO" sheetId="8" r:id="rId4"/>
    <sheet name="SaXSaY" sheetId="9" r:id="rId5"/>
    <sheet name="TABLAS" sheetId="4" r:id="rId6"/>
    <sheet name="PARAMETROS" sheetId="6" r:id="rId7"/>
  </sheets>
  <definedNames>
    <definedName name="_xlnm.Print_Area" localSheetId="3">ESPECTRO!$A$1:$L$71</definedName>
    <definedName name="_xlnm.Print_Area" localSheetId="0">'PRE COL GRAVEDAD'!$A$1:$N$55</definedName>
    <definedName name="_xlnm.Print_Area" localSheetId="1">'PRE COL SISMO'!$A$1:$M$80</definedName>
    <definedName name="_xlnm.Print_Area" localSheetId="2">'PRE VIGAS'!$A$1:$O$65</definedName>
    <definedName name="_xlnm.Print_Titles" localSheetId="3">ESPECTRO!$1:$14</definedName>
    <definedName name="_xlnm.Print_Titles" localSheetId="0">'PRE COL GRAVEDAD'!$1:$28</definedName>
    <definedName name="_xlnm.Print_Titles" localSheetId="1">'PRE COL SISMO'!$1:$44</definedName>
    <definedName name="_xlnm.Print_Titles" localSheetId="2">'PRE VIGAS'!$1:$31</definedName>
  </definedNames>
  <calcPr calcId="124519"/>
</workbook>
</file>

<file path=xl/calcChain.xml><?xml version="1.0" encoding="utf-8"?>
<calcChain xmlns="http://schemas.openxmlformats.org/spreadsheetml/2006/main">
  <c r="J25" i="3"/>
  <c r="J23"/>
  <c r="K41" i="5"/>
  <c r="K39"/>
  <c r="A45" i="9"/>
  <c r="A46"/>
  <c r="A47"/>
  <c r="A48"/>
  <c r="A49"/>
  <c r="A41"/>
  <c r="A42"/>
  <c r="A43"/>
  <c r="A44"/>
  <c r="A4"/>
  <c r="B4"/>
  <c r="C4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B3"/>
  <c r="C3"/>
  <c r="B27" i="8"/>
  <c r="B28" s="1"/>
  <c r="B29" s="1"/>
  <c r="B30" s="1"/>
  <c r="B31" s="1"/>
  <c r="B32" s="1"/>
  <c r="B33" s="1"/>
  <c r="B34" s="1"/>
  <c r="B35" s="1"/>
  <c r="B36" s="1"/>
  <c r="B37" s="1"/>
  <c r="B38" s="1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58" s="1"/>
  <c r="B59" s="1"/>
  <c r="B60" s="1"/>
  <c r="B61" s="1"/>
  <c r="B62" s="1"/>
  <c r="B63" s="1"/>
  <c r="B64" s="1"/>
  <c r="B65" s="1"/>
  <c r="B66" s="1"/>
  <c r="B67" s="1"/>
  <c r="B68" s="1"/>
  <c r="B69" s="1"/>
  <c r="B70" s="1"/>
  <c r="I15"/>
  <c r="L12"/>
  <c r="L13"/>
  <c r="L11"/>
  <c r="L10"/>
  <c r="C43" s="1"/>
  <c r="L9"/>
  <c r="L8"/>
  <c r="F59" i="7"/>
  <c r="F64"/>
  <c r="F63"/>
  <c r="F62"/>
  <c r="F61"/>
  <c r="F60"/>
  <c r="F58"/>
  <c r="F57"/>
  <c r="F56"/>
  <c r="F55"/>
  <c r="J53"/>
  <c r="J36"/>
  <c r="J37"/>
  <c r="J38"/>
  <c r="J39"/>
  <c r="J40"/>
  <c r="J41"/>
  <c r="J42"/>
  <c r="J43"/>
  <c r="J44"/>
  <c r="J45"/>
  <c r="J46"/>
  <c r="J47"/>
  <c r="J48"/>
  <c r="J49"/>
  <c r="J50"/>
  <c r="J51"/>
  <c r="J52"/>
  <c r="J54"/>
  <c r="F54"/>
  <c r="F52"/>
  <c r="F51"/>
  <c r="F50"/>
  <c r="F49"/>
  <c r="F48"/>
  <c r="F46"/>
  <c r="F47"/>
  <c r="F44"/>
  <c r="F45"/>
  <c r="F43"/>
  <c r="F42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J55" s="1"/>
  <c r="I56"/>
  <c r="J56" s="1"/>
  <c r="I57"/>
  <c r="J57" s="1"/>
  <c r="I58"/>
  <c r="J58" s="1"/>
  <c r="I59"/>
  <c r="J59" s="1"/>
  <c r="I60"/>
  <c r="J60" s="1"/>
  <c r="I61"/>
  <c r="J61" s="1"/>
  <c r="I62"/>
  <c r="J62" s="1"/>
  <c r="I63"/>
  <c r="J63" s="1"/>
  <c r="I64"/>
  <c r="J64" s="1"/>
  <c r="I36"/>
  <c r="F41"/>
  <c r="F40"/>
  <c r="F39"/>
  <c r="F38"/>
  <c r="F37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36"/>
  <c r="C70" i="8" l="1"/>
  <c r="C68"/>
  <c r="C66"/>
  <c r="C64"/>
  <c r="C62"/>
  <c r="C60"/>
  <c r="C58"/>
  <c r="C56"/>
  <c r="C54"/>
  <c r="C52"/>
  <c r="C50"/>
  <c r="C48"/>
  <c r="C46"/>
  <c r="C44"/>
  <c r="C69"/>
  <c r="C67"/>
  <c r="C65"/>
  <c r="C63"/>
  <c r="C61"/>
  <c r="C59"/>
  <c r="C57"/>
  <c r="C55"/>
  <c r="C53"/>
  <c r="C51"/>
  <c r="C49"/>
  <c r="C47"/>
  <c r="C45"/>
  <c r="C27"/>
  <c r="C29"/>
  <c r="C28"/>
  <c r="L15"/>
  <c r="D68" s="1"/>
  <c r="B47" i="9" s="1"/>
  <c r="E47" s="1"/>
  <c r="C30" i="8"/>
  <c r="L16"/>
  <c r="E43" s="1"/>
  <c r="C22" i="9" s="1"/>
  <c r="F22" s="1"/>
  <c r="L12" i="7"/>
  <c r="M12" s="1"/>
  <c r="C63"/>
  <c r="C59"/>
  <c r="C57"/>
  <c r="C56"/>
  <c r="C54"/>
  <c r="C53"/>
  <c r="C52"/>
  <c r="C51"/>
  <c r="C49"/>
  <c r="C47"/>
  <c r="C45"/>
  <c r="C43"/>
  <c r="C42"/>
  <c r="C40"/>
  <c r="B40"/>
  <c r="B42" s="1"/>
  <c r="B45" s="1"/>
  <c r="B47" s="1"/>
  <c r="B49" s="1"/>
  <c r="B51" s="1"/>
  <c r="B53" s="1"/>
  <c r="C38"/>
  <c r="C37"/>
  <c r="C50"/>
  <c r="B39"/>
  <c r="B41" s="1"/>
  <c r="B44" s="1"/>
  <c r="B46" s="1"/>
  <c r="B48" s="1"/>
  <c r="C39"/>
  <c r="C36"/>
  <c r="C64"/>
  <c r="J30"/>
  <c r="J28"/>
  <c r="J27"/>
  <c r="M23"/>
  <c r="I11"/>
  <c r="J11" s="1"/>
  <c r="M11" s="1"/>
  <c r="I12" i="5"/>
  <c r="I9"/>
  <c r="I8"/>
  <c r="E29" i="8" l="1"/>
  <c r="C8" i="9" s="1"/>
  <c r="F8" s="1"/>
  <c r="E45" i="8"/>
  <c r="C24" i="9" s="1"/>
  <c r="F24" s="1"/>
  <c r="E49" i="8"/>
  <c r="C28" i="9" s="1"/>
  <c r="F28" s="1"/>
  <c r="E53" i="8"/>
  <c r="C32" i="9" s="1"/>
  <c r="F32" s="1"/>
  <c r="E57" i="8"/>
  <c r="C36" i="9" s="1"/>
  <c r="F36" s="1"/>
  <c r="E61" i="8"/>
  <c r="C40" i="9" s="1"/>
  <c r="F40" s="1"/>
  <c r="E65" i="8"/>
  <c r="C44" i="9" s="1"/>
  <c r="F44" s="1"/>
  <c r="E69" i="8"/>
  <c r="C48" i="9" s="1"/>
  <c r="F48" s="1"/>
  <c r="E30" i="8"/>
  <c r="C9" i="9" s="1"/>
  <c r="F9" s="1"/>
  <c r="E28" i="8"/>
  <c r="C7" i="9" s="1"/>
  <c r="F7" s="1"/>
  <c r="E27" i="8"/>
  <c r="C6" i="9" s="1"/>
  <c r="F6" s="1"/>
  <c r="E47" i="8"/>
  <c r="C26" i="9" s="1"/>
  <c r="F26" s="1"/>
  <c r="E51" i="8"/>
  <c r="C30" i="9" s="1"/>
  <c r="F30" s="1"/>
  <c r="E55" i="8"/>
  <c r="C34" i="9" s="1"/>
  <c r="F34" s="1"/>
  <c r="E59" i="8"/>
  <c r="C38" i="9" s="1"/>
  <c r="F38" s="1"/>
  <c r="E63" i="8"/>
  <c r="C42" i="9" s="1"/>
  <c r="F42" s="1"/>
  <c r="E67" i="8"/>
  <c r="C46" i="9" s="1"/>
  <c r="F46" s="1"/>
  <c r="E44" i="8"/>
  <c r="C23" i="9" s="1"/>
  <c r="F23" s="1"/>
  <c r="E48" i="8"/>
  <c r="C27" i="9" s="1"/>
  <c r="F27" s="1"/>
  <c r="E52" i="8"/>
  <c r="C31" i="9" s="1"/>
  <c r="F31" s="1"/>
  <c r="E56" i="8"/>
  <c r="C35" i="9" s="1"/>
  <c r="F35" s="1"/>
  <c r="E60" i="8"/>
  <c r="C39" i="9" s="1"/>
  <c r="F39" s="1"/>
  <c r="E64" i="8"/>
  <c r="C43" i="9" s="1"/>
  <c r="F43" s="1"/>
  <c r="E68" i="8"/>
  <c r="C47" i="9" s="1"/>
  <c r="F47" s="1"/>
  <c r="E46" i="8"/>
  <c r="C25" i="9" s="1"/>
  <c r="F25" s="1"/>
  <c r="E50" i="8"/>
  <c r="C29" i="9" s="1"/>
  <c r="F29" s="1"/>
  <c r="E54" i="8"/>
  <c r="C33" i="9" s="1"/>
  <c r="F33" s="1"/>
  <c r="E58" i="8"/>
  <c r="C37" i="9" s="1"/>
  <c r="F37" s="1"/>
  <c r="E62" i="8"/>
  <c r="C41" i="9" s="1"/>
  <c r="F41" s="1"/>
  <c r="E66" i="8"/>
  <c r="C45" i="9" s="1"/>
  <c r="F45" s="1"/>
  <c r="E70" i="8"/>
  <c r="C49" i="9" s="1"/>
  <c r="F49" s="1"/>
  <c r="D45" i="8"/>
  <c r="B24" i="9" s="1"/>
  <c r="E24" s="1"/>
  <c r="D49" i="8"/>
  <c r="B28" i="9" s="1"/>
  <c r="E28" s="1"/>
  <c r="D53" i="8"/>
  <c r="B32" i="9" s="1"/>
  <c r="E32" s="1"/>
  <c r="D57" i="8"/>
  <c r="B36" i="9" s="1"/>
  <c r="E36" s="1"/>
  <c r="D61" i="8"/>
  <c r="B40" i="9" s="1"/>
  <c r="E40" s="1"/>
  <c r="D65" i="8"/>
  <c r="B44" i="9" s="1"/>
  <c r="E44" s="1"/>
  <c r="D69" i="8"/>
  <c r="B48" i="9" s="1"/>
  <c r="E48" s="1"/>
  <c r="D46" i="8"/>
  <c r="B25" i="9" s="1"/>
  <c r="E25" s="1"/>
  <c r="D50" i="8"/>
  <c r="B29" i="9" s="1"/>
  <c r="E29" s="1"/>
  <c r="D54" i="8"/>
  <c r="B33" i="9" s="1"/>
  <c r="E33" s="1"/>
  <c r="D58" i="8"/>
  <c r="B37" i="9" s="1"/>
  <c r="E37" s="1"/>
  <c r="D62" i="8"/>
  <c r="B41" i="9" s="1"/>
  <c r="E41" s="1"/>
  <c r="D66" i="8"/>
  <c r="B45" i="9" s="1"/>
  <c r="E45" s="1"/>
  <c r="D70" i="8"/>
  <c r="B49" i="9" s="1"/>
  <c r="E49" s="1"/>
  <c r="D43" i="8"/>
  <c r="B22" i="9" s="1"/>
  <c r="E22" s="1"/>
  <c r="D47" i="8"/>
  <c r="B26" i="9" s="1"/>
  <c r="E26" s="1"/>
  <c r="D51" i="8"/>
  <c r="B30" i="9" s="1"/>
  <c r="E30" s="1"/>
  <c r="D55" i="8"/>
  <c r="B34" i="9" s="1"/>
  <c r="E34" s="1"/>
  <c r="D59" i="8"/>
  <c r="B38" i="9" s="1"/>
  <c r="E38" s="1"/>
  <c r="D63" i="8"/>
  <c r="B42" i="9" s="1"/>
  <c r="E42" s="1"/>
  <c r="D67" i="8"/>
  <c r="B46" i="9" s="1"/>
  <c r="E46" s="1"/>
  <c r="D44" i="8"/>
  <c r="B23" i="9" s="1"/>
  <c r="E23" s="1"/>
  <c r="D48" i="8"/>
  <c r="B27" i="9" s="1"/>
  <c r="E27" s="1"/>
  <c r="D52" i="8"/>
  <c r="B31" i="9" s="1"/>
  <c r="E31" s="1"/>
  <c r="D56" i="8"/>
  <c r="B35" i="9" s="1"/>
  <c r="E35" s="1"/>
  <c r="D60" i="8"/>
  <c r="B39" i="9" s="1"/>
  <c r="E39" s="1"/>
  <c r="D64" i="8"/>
  <c r="B43" i="9" s="1"/>
  <c r="E43" s="1"/>
  <c r="C31" i="8"/>
  <c r="E31" s="1"/>
  <c r="C10" i="9" s="1"/>
  <c r="F10" s="1"/>
  <c r="C61" i="7"/>
  <c r="C62"/>
  <c r="B56"/>
  <c r="B59" s="1"/>
  <c r="B61" s="1"/>
  <c r="B63" s="1"/>
  <c r="B43"/>
  <c r="B50"/>
  <c r="C60"/>
  <c r="C55"/>
  <c r="C48"/>
  <c r="C44"/>
  <c r="C58"/>
  <c r="C46"/>
  <c r="C41"/>
  <c r="M17"/>
  <c r="K36" i="5"/>
  <c r="C31" i="3"/>
  <c r="D31"/>
  <c r="D56" i="5"/>
  <c r="I37" i="3"/>
  <c r="I38"/>
  <c r="I39"/>
  <c r="I40"/>
  <c r="I41"/>
  <c r="I43"/>
  <c r="I44"/>
  <c r="I47"/>
  <c r="I48"/>
  <c r="I52"/>
  <c r="I53"/>
  <c r="I54"/>
  <c r="I36"/>
  <c r="H62" i="5"/>
  <c r="H63"/>
  <c r="H64"/>
  <c r="H65"/>
  <c r="H66"/>
  <c r="H68"/>
  <c r="H69"/>
  <c r="H70"/>
  <c r="H71"/>
  <c r="H72"/>
  <c r="H73"/>
  <c r="H74"/>
  <c r="H75"/>
  <c r="H76"/>
  <c r="H77"/>
  <c r="H78"/>
  <c r="H79"/>
  <c r="H61"/>
  <c r="F52"/>
  <c r="A6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I14"/>
  <c r="I11"/>
  <c r="I10"/>
  <c r="H43"/>
  <c r="H41"/>
  <c r="H40"/>
  <c r="J25"/>
  <c r="K25" s="1"/>
  <c r="F24"/>
  <c r="H24" s="1"/>
  <c r="K24" s="1"/>
  <c r="E9" i="3"/>
  <c r="G9" s="1"/>
  <c r="J9" s="1"/>
  <c r="I10"/>
  <c r="J10" s="1"/>
  <c r="M26" i="7" l="1"/>
  <c r="M28"/>
  <c r="C32" i="8"/>
  <c r="E32" s="1"/>
  <c r="C11" i="9" s="1"/>
  <c r="F11" s="1"/>
  <c r="M27" i="7"/>
  <c r="B55"/>
  <c r="B58" s="1"/>
  <c r="B60" s="1"/>
  <c r="B62" s="1"/>
  <c r="B64" s="1"/>
  <c r="B52"/>
  <c r="M30"/>
  <c r="K30" i="5"/>
  <c r="E31" i="3"/>
  <c r="I15" i="5"/>
  <c r="I16" s="1"/>
  <c r="K40"/>
  <c r="D54" i="3"/>
  <c r="E54" s="1"/>
  <c r="D53"/>
  <c r="D52"/>
  <c r="E52" s="1"/>
  <c r="D51"/>
  <c r="D50"/>
  <c r="E50" s="1"/>
  <c r="D49"/>
  <c r="D48"/>
  <c r="E48" s="1"/>
  <c r="D47"/>
  <c r="D46"/>
  <c r="D45"/>
  <c r="D44"/>
  <c r="E44" s="1"/>
  <c r="D43"/>
  <c r="D42"/>
  <c r="E42" s="1"/>
  <c r="D41"/>
  <c r="D40"/>
  <c r="E40" s="1"/>
  <c r="D39"/>
  <c r="D38"/>
  <c r="E38" s="1"/>
  <c r="D37"/>
  <c r="D36"/>
  <c r="E36" s="1"/>
  <c r="A36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D35"/>
  <c r="E35" s="1"/>
  <c r="H26"/>
  <c r="H25"/>
  <c r="H24"/>
  <c r="H37" i="7" l="1"/>
  <c r="K37" s="1"/>
  <c r="H38"/>
  <c r="K38" s="1"/>
  <c r="H39"/>
  <c r="K39" s="1"/>
  <c r="H40"/>
  <c r="K40" s="1"/>
  <c r="H41"/>
  <c r="K41" s="1"/>
  <c r="H42"/>
  <c r="K42" s="1"/>
  <c r="H44"/>
  <c r="K44" s="1"/>
  <c r="H45"/>
  <c r="K45" s="1"/>
  <c r="H47"/>
  <c r="K47" s="1"/>
  <c r="H49"/>
  <c r="K49" s="1"/>
  <c r="H51"/>
  <c r="K51" s="1"/>
  <c r="H52"/>
  <c r="K52" s="1"/>
  <c r="H54"/>
  <c r="K54" s="1"/>
  <c r="H55"/>
  <c r="K55" s="1"/>
  <c r="H56"/>
  <c r="K56" s="1"/>
  <c r="H58"/>
  <c r="K58" s="1"/>
  <c r="H60"/>
  <c r="K60" s="1"/>
  <c r="H62"/>
  <c r="K62" s="1"/>
  <c r="H36"/>
  <c r="K36" s="1"/>
  <c r="H43"/>
  <c r="K43" s="1"/>
  <c r="H46"/>
  <c r="K46" s="1"/>
  <c r="H48"/>
  <c r="K48" s="1"/>
  <c r="H50"/>
  <c r="K50" s="1"/>
  <c r="H53"/>
  <c r="K53" s="1"/>
  <c r="H57"/>
  <c r="K57" s="1"/>
  <c r="H59"/>
  <c r="K59" s="1"/>
  <c r="H61"/>
  <c r="K61" s="1"/>
  <c r="H63"/>
  <c r="K63" s="1"/>
  <c r="H64"/>
  <c r="K64" s="1"/>
  <c r="C33" i="8"/>
  <c r="E33" s="1"/>
  <c r="C12" i="9" s="1"/>
  <c r="F12" s="1"/>
  <c r="B54" i="7"/>
  <c r="B57"/>
  <c r="K43" i="5"/>
  <c r="L49" s="1"/>
  <c r="E56" s="1"/>
  <c r="G56" s="1"/>
  <c r="J24" i="3"/>
  <c r="J26" s="1"/>
  <c r="E37"/>
  <c r="E39"/>
  <c r="E41"/>
  <c r="E43"/>
  <c r="E45"/>
  <c r="E46"/>
  <c r="E47"/>
  <c r="E49"/>
  <c r="E51"/>
  <c r="E53"/>
  <c r="N64" i="7" l="1"/>
  <c r="L64"/>
  <c r="M64" s="1"/>
  <c r="L61"/>
  <c r="M61" s="1"/>
  <c r="N61"/>
  <c r="N57"/>
  <c r="L57"/>
  <c r="M57" s="1"/>
  <c r="L50"/>
  <c r="M50" s="1"/>
  <c r="N50"/>
  <c r="L56"/>
  <c r="M56" s="1"/>
  <c r="N56"/>
  <c r="N54"/>
  <c r="L54"/>
  <c r="M54" s="1"/>
  <c r="L51"/>
  <c r="M51" s="1"/>
  <c r="N51"/>
  <c r="N47"/>
  <c r="L47"/>
  <c r="M47" s="1"/>
  <c r="N37"/>
  <c r="L37"/>
  <c r="M37" s="1"/>
  <c r="N63"/>
  <c r="L63"/>
  <c r="M63" s="1"/>
  <c r="L59"/>
  <c r="M59" s="1"/>
  <c r="N59"/>
  <c r="N53"/>
  <c r="L53"/>
  <c r="M53" s="1"/>
  <c r="L43"/>
  <c r="M43" s="1"/>
  <c r="N43"/>
  <c r="L62"/>
  <c r="M62" s="1"/>
  <c r="N62"/>
  <c r="N52"/>
  <c r="L52"/>
  <c r="M52" s="1"/>
  <c r="N49"/>
  <c r="L49"/>
  <c r="M49" s="1"/>
  <c r="N45"/>
  <c r="L45"/>
  <c r="M45" s="1"/>
  <c r="N42"/>
  <c r="L42"/>
  <c r="M42" s="1"/>
  <c r="L40"/>
  <c r="M40" s="1"/>
  <c r="N40"/>
  <c r="N38"/>
  <c r="L38"/>
  <c r="M38" s="1"/>
  <c r="F31" i="3"/>
  <c r="G31" s="1"/>
  <c r="H31" s="1"/>
  <c r="J31" s="1"/>
  <c r="C34" i="8"/>
  <c r="E34" s="1"/>
  <c r="C13" i="9" s="1"/>
  <c r="F13" s="1"/>
  <c r="F56" i="5"/>
  <c r="I56" s="1"/>
  <c r="E60"/>
  <c r="G60" s="1"/>
  <c r="I60" s="1"/>
  <c r="J60" s="1"/>
  <c r="E62"/>
  <c r="G62" s="1"/>
  <c r="F62" s="1"/>
  <c r="E64"/>
  <c r="G64" s="1"/>
  <c r="F64" s="1"/>
  <c r="E66"/>
  <c r="G66" s="1"/>
  <c r="F66" s="1"/>
  <c r="E68"/>
  <c r="G68" s="1"/>
  <c r="F68" s="1"/>
  <c r="E70"/>
  <c r="G70" s="1"/>
  <c r="E72"/>
  <c r="G72" s="1"/>
  <c r="F72" s="1"/>
  <c r="E74"/>
  <c r="G74" s="1"/>
  <c r="F74" s="1"/>
  <c r="E76"/>
  <c r="G76" s="1"/>
  <c r="F76" s="1"/>
  <c r="E78"/>
  <c r="G78" s="1"/>
  <c r="F78" s="1"/>
  <c r="E61"/>
  <c r="G61" s="1"/>
  <c r="F61" s="1"/>
  <c r="E63"/>
  <c r="G63" s="1"/>
  <c r="F63" s="1"/>
  <c r="E65"/>
  <c r="G65" s="1"/>
  <c r="F65" s="1"/>
  <c r="E67"/>
  <c r="G67" s="1"/>
  <c r="F67" s="1"/>
  <c r="E69"/>
  <c r="G69" s="1"/>
  <c r="F69" s="1"/>
  <c r="E71"/>
  <c r="G71" s="1"/>
  <c r="F71" s="1"/>
  <c r="E73"/>
  <c r="G73" s="1"/>
  <c r="F73" s="1"/>
  <c r="E75"/>
  <c r="G75" s="1"/>
  <c r="F75" s="1"/>
  <c r="E77"/>
  <c r="G77" s="1"/>
  <c r="F77" s="1"/>
  <c r="E79"/>
  <c r="G79" s="1"/>
  <c r="F79" s="1"/>
  <c r="F60"/>
  <c r="F54" i="3"/>
  <c r="G54" s="1"/>
  <c r="H54" s="1"/>
  <c r="J54" s="1"/>
  <c r="M54" s="1"/>
  <c r="F52"/>
  <c r="G52" s="1"/>
  <c r="H52" s="1"/>
  <c r="J52" s="1"/>
  <c r="M52" s="1"/>
  <c r="F50"/>
  <c r="G50" s="1"/>
  <c r="H50" s="1"/>
  <c r="J50" s="1"/>
  <c r="M50" s="1"/>
  <c r="F48"/>
  <c r="G48" s="1"/>
  <c r="F44"/>
  <c r="G44" s="1"/>
  <c r="H44" s="1"/>
  <c r="J44" s="1"/>
  <c r="M44" s="1"/>
  <c r="F42"/>
  <c r="G42" s="1"/>
  <c r="H42" s="1"/>
  <c r="J42" s="1"/>
  <c r="M42" s="1"/>
  <c r="F40"/>
  <c r="G40" s="1"/>
  <c r="H40" s="1"/>
  <c r="J40" s="1"/>
  <c r="M40" s="1"/>
  <c r="F38"/>
  <c r="G38" s="1"/>
  <c r="H38" s="1"/>
  <c r="J38" s="1"/>
  <c r="M38" s="1"/>
  <c r="F36"/>
  <c r="G36" s="1"/>
  <c r="F35"/>
  <c r="G35" s="1"/>
  <c r="F53"/>
  <c r="G53" s="1"/>
  <c r="H53" s="1"/>
  <c r="J53" s="1"/>
  <c r="M53" s="1"/>
  <c r="F51"/>
  <c r="G51" s="1"/>
  <c r="H51" s="1"/>
  <c r="J51" s="1"/>
  <c r="M51" s="1"/>
  <c r="F49"/>
  <c r="G49" s="1"/>
  <c r="F47"/>
  <c r="G47" s="1"/>
  <c r="F46"/>
  <c r="G46" s="1"/>
  <c r="F45"/>
  <c r="G45" s="1"/>
  <c r="F43"/>
  <c r="G43" s="1"/>
  <c r="H43" s="1"/>
  <c r="J43" s="1"/>
  <c r="M43" s="1"/>
  <c r="F41"/>
  <c r="G41" s="1"/>
  <c r="H41" s="1"/>
  <c r="J41" s="1"/>
  <c r="M41" s="1"/>
  <c r="F39"/>
  <c r="G39" s="1"/>
  <c r="H39" s="1"/>
  <c r="J39" s="1"/>
  <c r="M39" s="1"/>
  <c r="F37"/>
  <c r="G37" s="1"/>
  <c r="K50"/>
  <c r="K38"/>
  <c r="L38"/>
  <c r="L50" l="1"/>
  <c r="L31"/>
  <c r="M31"/>
  <c r="K31"/>
  <c r="C35" i="8"/>
  <c r="E35" s="1"/>
  <c r="C14" i="9" s="1"/>
  <c r="F14" s="1"/>
  <c r="N46" i="7"/>
  <c r="L46"/>
  <c r="M46" s="1"/>
  <c r="N58"/>
  <c r="L58"/>
  <c r="M58" s="1"/>
  <c r="N60"/>
  <c r="L60"/>
  <c r="M60" s="1"/>
  <c r="L55"/>
  <c r="M55" s="1"/>
  <c r="N55"/>
  <c r="L41"/>
  <c r="M41" s="1"/>
  <c r="N41"/>
  <c r="N36"/>
  <c r="L36"/>
  <c r="N39"/>
  <c r="L39"/>
  <c r="M39" s="1"/>
  <c r="L44"/>
  <c r="M44" s="1"/>
  <c r="N44"/>
  <c r="N48"/>
  <c r="L48"/>
  <c r="M48" s="1"/>
  <c r="L56" i="5"/>
  <c r="J56"/>
  <c r="K56" s="1"/>
  <c r="F70"/>
  <c r="I70" s="1"/>
  <c r="K60"/>
  <c r="L60"/>
  <c r="I75"/>
  <c r="I67"/>
  <c r="I63"/>
  <c r="I78"/>
  <c r="I66"/>
  <c r="I62"/>
  <c r="I77"/>
  <c r="I73"/>
  <c r="I69"/>
  <c r="I65"/>
  <c r="I61"/>
  <c r="I76"/>
  <c r="I72"/>
  <c r="I68"/>
  <c r="I64"/>
  <c r="I79"/>
  <c r="I71"/>
  <c r="I74"/>
  <c r="H37" i="3"/>
  <c r="J37" s="1"/>
  <c r="L37" s="1"/>
  <c r="H45"/>
  <c r="J45" s="1"/>
  <c r="H47"/>
  <c r="J47" s="1"/>
  <c r="L47" s="1"/>
  <c r="H35"/>
  <c r="J35" s="1"/>
  <c r="H48"/>
  <c r="J48" s="1"/>
  <c r="L48" s="1"/>
  <c r="L39"/>
  <c r="K39"/>
  <c r="L51"/>
  <c r="K51"/>
  <c r="H46"/>
  <c r="J46" s="1"/>
  <c r="L46" s="1"/>
  <c r="H49"/>
  <c r="J49" s="1"/>
  <c r="L49" s="1"/>
  <c r="H36"/>
  <c r="J36" s="1"/>
  <c r="C36" i="8" l="1"/>
  <c r="E36" s="1"/>
  <c r="C15" i="9" s="1"/>
  <c r="F15" s="1"/>
  <c r="M36" i="7"/>
  <c r="Q36"/>
  <c r="M36" i="3"/>
  <c r="K36"/>
  <c r="M46"/>
  <c r="K46"/>
  <c r="M35"/>
  <c r="K35"/>
  <c r="M45"/>
  <c r="K45"/>
  <c r="L36"/>
  <c r="M49"/>
  <c r="K49"/>
  <c r="M48"/>
  <c r="K48"/>
  <c r="M47"/>
  <c r="K47"/>
  <c r="M37"/>
  <c r="K37"/>
  <c r="L35"/>
  <c r="L45"/>
  <c r="L68" i="5"/>
  <c r="J68"/>
  <c r="K68" s="1"/>
  <c r="J76"/>
  <c r="K76" s="1"/>
  <c r="L76"/>
  <c r="J72"/>
  <c r="K72" s="1"/>
  <c r="L72"/>
  <c r="J74"/>
  <c r="K74" s="1"/>
  <c r="L74"/>
  <c r="L79"/>
  <c r="J79"/>
  <c r="K79" s="1"/>
  <c r="J61"/>
  <c r="K61" s="1"/>
  <c r="L61"/>
  <c r="J65"/>
  <c r="K65" s="1"/>
  <c r="L65"/>
  <c r="J73"/>
  <c r="K73" s="1"/>
  <c r="L73"/>
  <c r="J77"/>
  <c r="K77" s="1"/>
  <c r="L77"/>
  <c r="J62"/>
  <c r="K62" s="1"/>
  <c r="L62"/>
  <c r="J66"/>
  <c r="K66" s="1"/>
  <c r="L66"/>
  <c r="L67"/>
  <c r="J67"/>
  <c r="K67" s="1"/>
  <c r="L75"/>
  <c r="J75"/>
  <c r="K75" s="1"/>
  <c r="L71"/>
  <c r="J71"/>
  <c r="K71" s="1"/>
  <c r="J69"/>
  <c r="K69" s="1"/>
  <c r="L69"/>
  <c r="J70"/>
  <c r="K70" s="1"/>
  <c r="L70"/>
  <c r="J78"/>
  <c r="K78" s="1"/>
  <c r="L78"/>
  <c r="L63"/>
  <c r="J63"/>
  <c r="K63" s="1"/>
  <c r="L64"/>
  <c r="J64"/>
  <c r="K64" s="1"/>
  <c r="K40" i="3"/>
  <c r="L40"/>
  <c r="K52"/>
  <c r="L52"/>
  <c r="C37" i="8" l="1"/>
  <c r="E37" s="1"/>
  <c r="C16" i="9" s="1"/>
  <c r="F16" s="1"/>
  <c r="L53" i="3"/>
  <c r="K53"/>
  <c r="L41"/>
  <c r="K41"/>
  <c r="C38" i="8" l="1"/>
  <c r="E38" s="1"/>
  <c r="C17" i="9" s="1"/>
  <c r="F17" s="1"/>
  <c r="K54" i="3"/>
  <c r="L54"/>
  <c r="K42"/>
  <c r="L42"/>
  <c r="C39" i="8" l="1"/>
  <c r="E39" s="1"/>
  <c r="C18" i="9" s="1"/>
  <c r="F18" s="1"/>
  <c r="L43" i="3"/>
  <c r="K43"/>
  <c r="C40" i="8" l="1"/>
  <c r="E40" s="1"/>
  <c r="C19" i="9" s="1"/>
  <c r="F19" s="1"/>
  <c r="K44" i="3"/>
  <c r="L44"/>
  <c r="C41" i="8" l="1"/>
  <c r="E41" s="1"/>
  <c r="C20" i="9" s="1"/>
  <c r="F20" s="1"/>
  <c r="C42" i="8" l="1"/>
  <c r="E42" s="1"/>
  <c r="C21" i="9" s="1"/>
  <c r="F21" s="1"/>
  <c r="D42" i="8" l="1"/>
  <c r="B21" i="9" s="1"/>
  <c r="E21" s="1"/>
  <c r="D41" i="8" l="1"/>
  <c r="B20" i="9" s="1"/>
  <c r="E20" s="1"/>
  <c r="D40" i="8" l="1"/>
  <c r="B19" i="9" s="1"/>
  <c r="E19" s="1"/>
  <c r="D39" i="8" l="1"/>
  <c r="B18" i="9" s="1"/>
  <c r="E18" s="1"/>
  <c r="D38" i="8" l="1"/>
  <c r="B17" i="9" s="1"/>
  <c r="E17" s="1"/>
  <c r="D37" i="8" l="1"/>
  <c r="B16" i="9" s="1"/>
  <c r="E16" s="1"/>
  <c r="D36" i="8" l="1"/>
  <c r="B15" i="9" s="1"/>
  <c r="E15" s="1"/>
  <c r="D35" i="8" l="1"/>
  <c r="B14" i="9" s="1"/>
  <c r="E14" s="1"/>
  <c r="D34" i="8" l="1"/>
  <c r="B13" i="9" s="1"/>
  <c r="E13" s="1"/>
  <c r="D33" i="8" l="1"/>
  <c r="B12" i="9" s="1"/>
  <c r="E12" s="1"/>
  <c r="D32" i="8" l="1"/>
  <c r="B11" i="9" s="1"/>
  <c r="E11" s="1"/>
  <c r="D31" i="8" l="1"/>
  <c r="B10" i="9" s="1"/>
  <c r="E10" s="1"/>
  <c r="D30" i="8" l="1"/>
  <c r="B9" i="9" s="1"/>
  <c r="E9" s="1"/>
  <c r="D29" i="8" l="1"/>
  <c r="B8" i="9" s="1"/>
  <c r="E8" s="1"/>
  <c r="D28" i="8" l="1"/>
  <c r="B7" i="9" s="1"/>
  <c r="E7" s="1"/>
  <c r="D27" i="8" l="1"/>
  <c r="B6" i="9" s="1"/>
  <c r="E6" s="1"/>
  <c r="C26" i="8"/>
  <c r="D26" l="1"/>
  <c r="B5" i="9" s="1"/>
  <c r="E5" s="1"/>
  <c r="E26" i="8"/>
  <c r="C5" i="9" s="1"/>
  <c r="F5" s="1"/>
</calcChain>
</file>

<file path=xl/sharedStrings.xml><?xml version="1.0" encoding="utf-8"?>
<sst xmlns="http://schemas.openxmlformats.org/spreadsheetml/2006/main" count="555" uniqueCount="247">
  <si>
    <t xml:space="preserve">  kg/m2</t>
  </si>
  <si>
    <t>USO</t>
  </si>
  <si>
    <t>AZOTEA</t>
  </si>
  <si>
    <t>Kg/m2</t>
  </si>
  <si>
    <t>TABIQUERIA</t>
  </si>
  <si>
    <t>ACABADOS</t>
  </si>
  <si>
    <t>Carga muerta (WD):</t>
  </si>
  <si>
    <t>Carga viva (WL):</t>
  </si>
  <si>
    <t>Tipo de columna</t>
  </si>
  <si>
    <t>Area tributaria</t>
  </si>
  <si>
    <t>Pg</t>
  </si>
  <si>
    <t xml:space="preserve">Peso total de cargas de gravedad que soporta la columna </t>
  </si>
  <si>
    <t>n</t>
  </si>
  <si>
    <t>Kg/cm2</t>
  </si>
  <si>
    <t>t (cm)</t>
  </si>
  <si>
    <t>w (Kg/m2)</t>
  </si>
  <si>
    <t>Peso del tabique (Kg/m)</t>
  </si>
  <si>
    <t>Carga Equivalente (Kg/m2)</t>
  </si>
  <si>
    <t>74 o menos</t>
  </si>
  <si>
    <t>75 a 149</t>
  </si>
  <si>
    <t>150 a 249</t>
  </si>
  <si>
    <t>250 a 399</t>
  </si>
  <si>
    <t>400 a 549</t>
  </si>
  <si>
    <t>550 a 699</t>
  </si>
  <si>
    <t>700 a 849</t>
  </si>
  <si>
    <t>850 a 1000</t>
  </si>
  <si>
    <t>AMBIENTE</t>
  </si>
  <si>
    <t>S/C (Kg/m2)</t>
  </si>
  <si>
    <t>Bibliotecas</t>
  </si>
  <si>
    <t>Escuelas</t>
  </si>
  <si>
    <t>Hospitales</t>
  </si>
  <si>
    <t>Oficinas</t>
  </si>
  <si>
    <t>Viviendas</t>
  </si>
  <si>
    <t xml:space="preserve">Tiendas </t>
  </si>
  <si>
    <t>Sala de lectura</t>
  </si>
  <si>
    <t>Sala de almacenaje</t>
  </si>
  <si>
    <t>Aulas y laboratorio</t>
  </si>
  <si>
    <t>Talleres</t>
  </si>
  <si>
    <t>Cuartos</t>
  </si>
  <si>
    <t>Sala de Operación y laboratorio</t>
  </si>
  <si>
    <t>Ambientes Comunes</t>
  </si>
  <si>
    <t>Sala de Archivos</t>
  </si>
  <si>
    <t>Corredores y Escaleras</t>
  </si>
  <si>
    <t>Azoteas *</t>
  </si>
  <si>
    <t>Planas no utilizable</t>
  </si>
  <si>
    <t>MATERIALES</t>
  </si>
  <si>
    <t>PESO (Kg/m3)</t>
  </si>
  <si>
    <t>1.- AISLAMIENTO</t>
  </si>
  <si>
    <t>Fibra de vidrio</t>
  </si>
  <si>
    <t>Corcho</t>
  </si>
  <si>
    <t>Poliuretano poliestireno</t>
  </si>
  <si>
    <t>Fibrocemento</t>
  </si>
  <si>
    <t>2.- ALBAÑILERIA DE</t>
  </si>
  <si>
    <t>Adobe</t>
  </si>
  <si>
    <t>Unidades de albañileria solidas</t>
  </si>
  <si>
    <t>Unidades de albañileria huecas</t>
  </si>
  <si>
    <t>3.- CONCRETO SIMPLE DE</t>
  </si>
  <si>
    <t>Grava</t>
  </si>
  <si>
    <t>Cascote de ladrillo</t>
  </si>
  <si>
    <t>Pomez</t>
  </si>
  <si>
    <t>5.- ENLUCIDO O REVOQUE DE</t>
  </si>
  <si>
    <t>Mortero de cemento</t>
  </si>
  <si>
    <t>Mortero de cal y cemento</t>
  </si>
  <si>
    <t>Mortero de cal</t>
  </si>
  <si>
    <t>Yeso</t>
  </si>
  <si>
    <t>6.- LIQUIDOS</t>
  </si>
  <si>
    <t>Agua</t>
  </si>
  <si>
    <t>4.- CONCRETO ARMADO</t>
  </si>
  <si>
    <t>Añadir 100 Kg/m3 al peso del concreto simple</t>
  </si>
  <si>
    <t>b x D</t>
  </si>
  <si>
    <t>USOS</t>
  </si>
  <si>
    <t>SOBRECARGAS</t>
  </si>
  <si>
    <t>ALTURA TOTAL</t>
  </si>
  <si>
    <t>DEPARTAMENTO Y OFICINAS</t>
  </si>
  <si>
    <t>L/11</t>
  </si>
  <si>
    <t>GARAGES Y TIENDAS</t>
  </si>
  <si>
    <t>L/10</t>
  </si>
  <si>
    <t>DEPOSITOS</t>
  </si>
  <si>
    <t>L/8</t>
  </si>
  <si>
    <t>VIVIENDA</t>
  </si>
  <si>
    <t>VIGAS</t>
  </si>
  <si>
    <t>COLUMNAS</t>
  </si>
  <si>
    <t>Resistencia del concreto en columna</t>
  </si>
  <si>
    <t>Carga total (PU):</t>
  </si>
  <si>
    <t>Peso total de cargas de gravedad que soporta la columna cada piso</t>
  </si>
  <si>
    <t>γt</t>
  </si>
  <si>
    <t xml:space="preserve"> </t>
  </si>
  <si>
    <t>C1</t>
  </si>
  <si>
    <t>Numero de Pisos:</t>
  </si>
  <si>
    <t>Pisos</t>
  </si>
  <si>
    <t>si b=D (cm)</t>
  </si>
  <si>
    <t>Verifica</t>
  </si>
  <si>
    <t>(VIVIENDA)</t>
  </si>
  <si>
    <t>Esquinera</t>
  </si>
  <si>
    <t>Lateral</t>
  </si>
  <si>
    <t>Interior</t>
  </si>
  <si>
    <t>Peso total de cargas de gravedad que soporta la columna</t>
  </si>
  <si>
    <t>Peso total de cargas de gravedad por</t>
  </si>
  <si>
    <t>TIPOS</t>
  </si>
  <si>
    <t>C2</t>
  </si>
  <si>
    <t>C3</t>
  </si>
  <si>
    <t>C4</t>
  </si>
  <si>
    <t>GENERAL (CASO CRITICO - TODA LA SUPERFICIE TECHADA)</t>
  </si>
  <si>
    <t>Ancho (cm) =</t>
  </si>
  <si>
    <t>Altura (m) =</t>
  </si>
  <si>
    <t>solido</t>
  </si>
  <si>
    <t>Tipo (*):</t>
  </si>
  <si>
    <t>ALIGERADO</t>
  </si>
  <si>
    <t>Luz (m) =</t>
  </si>
  <si>
    <t>H (cm) =</t>
  </si>
  <si>
    <t>(*) Tipo de Ladrillo: SOLIDO / HUECO, Altura mayor de tabiqueria</t>
  </si>
  <si>
    <t>CATEGORIA EDIFICIO</t>
  </si>
  <si>
    <t>FACTOR U</t>
  </si>
  <si>
    <t>A</t>
  </si>
  <si>
    <t>B</t>
  </si>
  <si>
    <t>C</t>
  </si>
  <si>
    <t>D</t>
  </si>
  <si>
    <t>ZONA SISMICA</t>
  </si>
  <si>
    <t>Z</t>
  </si>
  <si>
    <t>TIPO DE SUELO</t>
  </si>
  <si>
    <t>S</t>
  </si>
  <si>
    <t>S1</t>
  </si>
  <si>
    <t>S2</t>
  </si>
  <si>
    <t>S3</t>
  </si>
  <si>
    <t>S4</t>
  </si>
  <si>
    <t>CATEGORIA DE EDIFICACION</t>
  </si>
  <si>
    <t xml:space="preserve">Z = </t>
  </si>
  <si>
    <t xml:space="preserve">Tp (s) = </t>
  </si>
  <si>
    <t xml:space="preserve">U = </t>
  </si>
  <si>
    <t xml:space="preserve">S = </t>
  </si>
  <si>
    <t xml:space="preserve">C = </t>
  </si>
  <si>
    <r>
      <t>T</t>
    </r>
    <r>
      <rPr>
        <b/>
        <vertAlign val="subscript"/>
        <sz val="10"/>
        <rFont val="Arial"/>
        <family val="2"/>
      </rPr>
      <t>P</t>
    </r>
    <r>
      <rPr>
        <b/>
        <sz val="11"/>
        <color theme="1"/>
        <rFont val="Calibri"/>
        <family val="2"/>
        <scheme val="minor"/>
      </rPr>
      <t xml:space="preserve"> (s)</t>
    </r>
  </si>
  <si>
    <t>ALTURA DE LA EDIFICACION (m)</t>
  </si>
  <si>
    <t>Características para hallar el periodo fundamental</t>
  </si>
  <si>
    <t>CT</t>
  </si>
  <si>
    <t>Elementos resistentes en la dirección de los pórticos</t>
  </si>
  <si>
    <t>Elementos resistentes pórticos, cajas de ascensores y escaleras</t>
  </si>
  <si>
    <t>Elementos sismorresistentes por muros de corte</t>
  </si>
  <si>
    <t>PREDIMENSIONAMIENTO DE COLUMNAS POR SISMO</t>
  </si>
  <si>
    <t>(*)</t>
  </si>
  <si>
    <t>PERIODO FUNDAMENTAL (*)</t>
  </si>
  <si>
    <t xml:space="preserve">CT = </t>
  </si>
  <si>
    <t xml:space="preserve">T = </t>
  </si>
  <si>
    <t>DATOS</t>
  </si>
  <si>
    <t>CALCULOS</t>
  </si>
  <si>
    <t>Edificaciones Esenciales</t>
  </si>
  <si>
    <t>Edificaciones Importantes</t>
  </si>
  <si>
    <t>Edificaciones Comunes</t>
  </si>
  <si>
    <t>Edificaciones Menores</t>
  </si>
  <si>
    <t xml:space="preserve">ZUCS = </t>
  </si>
  <si>
    <t>Roca o suelos muy rígidos</t>
  </si>
  <si>
    <t>Suelos intermedios</t>
  </si>
  <si>
    <t>Suelos flexibles o con estratos de gran espesor</t>
  </si>
  <si>
    <t>Condiciones excepcionales</t>
  </si>
  <si>
    <t>(*) En estas edificaciones, a criterio del proyectista, se podrá omitir el análisis por fuerzas sísmicas,</t>
  </si>
  <si>
    <t>pero deberá proveerse de la resistencia y rigidez adecuadas para acciones laterales</t>
  </si>
  <si>
    <t>Zona contribuyente</t>
  </si>
  <si>
    <t>Relación carga viva a carga muerta</t>
  </si>
  <si>
    <t>(metros cuadrados)</t>
  </si>
  <si>
    <t>CORTANTE POR SISMO</t>
  </si>
  <si>
    <t>Vs = ZUCS x Pe</t>
  </si>
  <si>
    <t>Datos por Sismo:</t>
  </si>
  <si>
    <t>Calculo del Peso de la Estructura:</t>
  </si>
  <si>
    <t>ALTURA DEL PRIMER NIVEL (m)</t>
  </si>
  <si>
    <t>Calculo de Seccion de la Columna:</t>
  </si>
  <si>
    <t>Nro de Columnas</t>
  </si>
  <si>
    <t>Distorsion Permisible</t>
  </si>
  <si>
    <t>Resistencia del Concreto</t>
  </si>
  <si>
    <t>kg/cm2</t>
  </si>
  <si>
    <t>m</t>
  </si>
  <si>
    <t>columnas</t>
  </si>
  <si>
    <t>Modulo de Elasticidad del Concreto</t>
  </si>
  <si>
    <t xml:space="preserve">Vs = </t>
  </si>
  <si>
    <t>kg/m2</t>
  </si>
  <si>
    <t>Vs (Kg)</t>
  </si>
  <si>
    <t>SI b=D (cm)</t>
  </si>
  <si>
    <t>D (cm) (calculado)</t>
  </si>
  <si>
    <t>b (cm) (minimo)</t>
  </si>
  <si>
    <t>C5</t>
  </si>
  <si>
    <t>C6</t>
  </si>
  <si>
    <t>C7</t>
  </si>
  <si>
    <t>PREDIMENSIONAMIENTO DE COLUMNAS POR GRAVEDAD</t>
  </si>
  <si>
    <t>GENERAL</t>
  </si>
  <si>
    <t>GENERAL (ESTRUCTURACION SIMETRICA)</t>
  </si>
  <si>
    <t>GENERAL (ESTRUCTURACION IRREGULAR)</t>
  </si>
  <si>
    <t>GENERAL GENERAL (ESTRUCTURACION SIMETRICA)</t>
  </si>
  <si>
    <t xml:space="preserve">WD = </t>
  </si>
  <si>
    <t xml:space="preserve">WL = </t>
  </si>
  <si>
    <t xml:space="preserve">PU = </t>
  </si>
  <si>
    <t>Pe = PU x Area Trib</t>
  </si>
  <si>
    <t>PREDIMENSIONAMIENTO DE VIGAS</t>
  </si>
  <si>
    <t>-</t>
  </si>
  <si>
    <t>E</t>
  </si>
  <si>
    <t>F</t>
  </si>
  <si>
    <t>EJE</t>
  </si>
  <si>
    <t>TIPO</t>
  </si>
  <si>
    <t>P</t>
  </si>
  <si>
    <t>H (cm) (calculado)</t>
  </si>
  <si>
    <t>b(cm)=L/20</t>
  </si>
  <si>
    <t>ANCHO TRIBUT L(m)</t>
  </si>
  <si>
    <t>LUZ LIBRE Ln(m)</t>
  </si>
  <si>
    <t>H(cm)=Ln/11</t>
  </si>
  <si>
    <t>H(cm)  Ln/(4/RAIZ(WU))</t>
  </si>
  <si>
    <t>b x H</t>
  </si>
  <si>
    <t>V1</t>
  </si>
  <si>
    <t>V2</t>
  </si>
  <si>
    <t>V3</t>
  </si>
  <si>
    <t>R</t>
  </si>
  <si>
    <t>Coef Regular</t>
  </si>
  <si>
    <t>estado R</t>
  </si>
  <si>
    <t>R3</t>
  </si>
  <si>
    <t>Acero, Arriostres en Cruz</t>
  </si>
  <si>
    <t>R2</t>
  </si>
  <si>
    <t>Acero, Arriostres Excéntricos</t>
  </si>
  <si>
    <t>R1</t>
  </si>
  <si>
    <t>Acero, Porticos Ductiles con Uniones Resistentes a Momentos</t>
  </si>
  <si>
    <t>R8</t>
  </si>
  <si>
    <t>Albañileria Armada o Confinada</t>
  </si>
  <si>
    <t>R6</t>
  </si>
  <si>
    <t>Concreto Armado, de Muros Estructurales</t>
  </si>
  <si>
    <t>R5</t>
  </si>
  <si>
    <t>Concreto Armado, Dual</t>
  </si>
  <si>
    <t>R4</t>
  </si>
  <si>
    <t>Concreto Armado, Porticos</t>
  </si>
  <si>
    <t>R9</t>
  </si>
  <si>
    <t>Madera (Por Esfuerzos Admisibles)</t>
  </si>
  <si>
    <t>R7</t>
  </si>
  <si>
    <t>Muros de Ductilidad Limitada</t>
  </si>
  <si>
    <t>COEFICIENTE DE REDUCCION DIRECCION X RX (*)</t>
  </si>
  <si>
    <t>COEFICIENTE DE REDUCCION DIRECCION Y RY (*)</t>
  </si>
  <si>
    <t xml:space="preserve">RX = </t>
  </si>
  <si>
    <t xml:space="preserve">RY = </t>
  </si>
  <si>
    <t>REGULAR</t>
  </si>
  <si>
    <t>IRREGULAR</t>
  </si>
  <si>
    <t>FACTOR PARA ESCALAR R</t>
  </si>
  <si>
    <t>T (s)</t>
  </si>
  <si>
    <t>ZUCS/RX</t>
  </si>
  <si>
    <t>ZUCS/RY</t>
  </si>
  <si>
    <t>TIPO DE ESTRUCTURA: REGULAR (1) / IRREGULAR (2)</t>
  </si>
  <si>
    <t>Sax</t>
  </si>
  <si>
    <t>Say</t>
  </si>
  <si>
    <t>Espectro de Aceleracion Sisamica:</t>
  </si>
  <si>
    <t>ESPECTRO DE ACELERACIONES SISMICAS</t>
  </si>
  <si>
    <t>Y-Y</t>
  </si>
  <si>
    <t>X-X</t>
  </si>
  <si>
    <t>PARA SISMO</t>
  </si>
  <si>
    <t>COPIAR CELDAS EN ARCHIVO DE TEXTO PARA EXPORTAR AL SAP O ETABS</t>
  </si>
</sst>
</file>

<file path=xl/styles.xml><?xml version="1.0" encoding="utf-8"?>
<styleSheet xmlns="http://schemas.openxmlformats.org/spreadsheetml/2006/main">
  <numFmts count="12">
    <numFmt numFmtId="43" formatCode="_ * #,##0.00_ ;_ * \-#,##0.00_ ;_ * &quot;-&quot;??_ ;_ @_ "/>
    <numFmt numFmtId="164" formatCode="0.000"/>
    <numFmt numFmtId="165" formatCode="\C0"/>
    <numFmt numFmtId="166" formatCode="00"/>
    <numFmt numFmtId="167" formatCode="0\ &quot;er Piso&quot;"/>
    <numFmt numFmtId="168" formatCode="00\ &quot;Pisos&quot;"/>
    <numFmt numFmtId="169" formatCode="0.0"/>
    <numFmt numFmtId="170" formatCode="General&quot; o menor&quot;"/>
    <numFmt numFmtId="171" formatCode="General&quot; ó más&quot;"/>
    <numFmt numFmtId="172" formatCode="General&quot; -&quot;"/>
    <numFmt numFmtId="173" formatCode="#,##0.000"/>
    <numFmt numFmtId="174" formatCode="0.0000"/>
  </numFmts>
  <fonts count="3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Gisha"/>
      <family val="2"/>
    </font>
    <font>
      <sz val="11"/>
      <color theme="1"/>
      <name val="Gisha"/>
      <family val="2"/>
    </font>
    <font>
      <sz val="10"/>
      <color theme="1"/>
      <name val="Gisha"/>
      <family val="2"/>
    </font>
    <font>
      <b/>
      <sz val="10"/>
      <color theme="1"/>
      <name val="Gisha"/>
      <family val="2"/>
    </font>
    <font>
      <b/>
      <sz val="11"/>
      <color theme="1"/>
      <name val="Calibri"/>
      <family val="2"/>
      <scheme val="minor"/>
    </font>
    <font>
      <b/>
      <sz val="9"/>
      <color theme="1"/>
      <name val="Gisha"/>
      <family val="2"/>
    </font>
    <font>
      <b/>
      <u/>
      <sz val="12"/>
      <color theme="1"/>
      <name val="Gisha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u/>
      <sz val="14"/>
      <color theme="1"/>
      <name val="Gisha"/>
      <family val="2"/>
    </font>
    <font>
      <i/>
      <sz val="9"/>
      <color theme="1"/>
      <name val="Gisha"/>
      <family val="2"/>
    </font>
    <font>
      <sz val="10"/>
      <color theme="0"/>
      <name val="Gisha"/>
      <family val="2"/>
    </font>
    <font>
      <sz val="10"/>
      <color indexed="10"/>
      <name val="Arial"/>
      <family val="2"/>
    </font>
    <font>
      <b/>
      <sz val="10"/>
      <name val="Arial"/>
      <family val="2"/>
    </font>
    <font>
      <b/>
      <vertAlign val="subscript"/>
      <sz val="10"/>
      <name val="Arial"/>
      <family val="2"/>
    </font>
    <font>
      <i/>
      <sz val="10"/>
      <name val="Arial"/>
      <family val="2"/>
    </font>
    <font>
      <i/>
      <sz val="9"/>
      <name val="Gisha"/>
      <family val="2"/>
    </font>
    <font>
      <b/>
      <i/>
      <sz val="10"/>
      <name val="Gisha"/>
      <family val="2"/>
    </font>
    <font>
      <b/>
      <u/>
      <sz val="10"/>
      <color theme="1"/>
      <name val="Gisha"/>
      <family val="2"/>
    </font>
    <font>
      <i/>
      <sz val="10"/>
      <color theme="1"/>
      <name val="Gisha"/>
      <family val="2"/>
    </font>
    <font>
      <b/>
      <sz val="12"/>
      <color theme="1"/>
      <name val="Gisha"/>
      <family val="2"/>
    </font>
    <font>
      <b/>
      <sz val="10"/>
      <name val="Gisha"/>
      <family val="2"/>
    </font>
    <font>
      <b/>
      <sz val="14"/>
      <color theme="1"/>
      <name val="Calibri"/>
      <family val="2"/>
      <scheme val="minor"/>
    </font>
    <font>
      <b/>
      <sz val="11"/>
      <color theme="1"/>
      <name val="Gisha"/>
      <family val="2"/>
    </font>
    <font>
      <b/>
      <sz val="11"/>
      <name val="Gisha"/>
      <family val="2"/>
    </font>
    <font>
      <b/>
      <sz val="9"/>
      <name val="Arial"/>
      <family val="2"/>
    </font>
    <font>
      <sz val="8"/>
      <name val="Arial"/>
    </font>
    <font>
      <i/>
      <sz val="10"/>
      <name val="Gisha"/>
      <family val="2"/>
    </font>
    <font>
      <sz val="9"/>
      <color theme="1"/>
      <name val="Gisha"/>
      <family val="2"/>
    </font>
    <font>
      <b/>
      <i/>
      <sz val="9"/>
      <name val="Gisha"/>
      <family val="2"/>
    </font>
    <font>
      <sz val="9"/>
      <name val="Gisha"/>
      <family val="2"/>
    </font>
    <font>
      <b/>
      <u/>
      <sz val="11"/>
      <color theme="1"/>
      <name val="Gisha"/>
      <family val="2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13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double">
        <color auto="1"/>
      </bottom>
      <diagonal/>
    </border>
    <border>
      <left style="double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double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 style="double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thin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5">
    <xf numFmtId="0" fontId="0" fillId="0" borderId="0"/>
    <xf numFmtId="0" fontId="1" fillId="0" borderId="0"/>
    <xf numFmtId="0" fontId="9" fillId="0" borderId="0"/>
    <xf numFmtId="9" fontId="9" fillId="0" borderId="0" applyFont="0" applyFill="0" applyBorder="0" applyAlignment="0" applyProtection="0"/>
    <xf numFmtId="43" fontId="10" fillId="0" borderId="0" applyFont="0" applyFill="0" applyBorder="0" applyAlignment="0" applyProtection="0"/>
  </cellStyleXfs>
  <cellXfs count="269">
    <xf numFmtId="0" fontId="0" fillId="0" borderId="0" xfId="0"/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6" fillId="0" borderId="12" xfId="0" applyFont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6" xfId="0" applyFill="1" applyBorder="1" applyAlignment="1">
      <alignment horizontal="center"/>
    </xf>
    <xf numFmtId="0" fontId="6" fillId="0" borderId="11" xfId="0" applyFont="1" applyBorder="1"/>
    <xf numFmtId="0" fontId="6" fillId="0" borderId="12" xfId="0" applyFont="1" applyBorder="1"/>
    <xf numFmtId="0" fontId="0" fillId="0" borderId="5" xfId="0" applyBorder="1"/>
    <xf numFmtId="0" fontId="0" fillId="0" borderId="13" xfId="0" applyBorder="1"/>
    <xf numFmtId="0" fontId="0" fillId="0" borderId="7" xfId="0" applyBorder="1"/>
    <xf numFmtId="0" fontId="0" fillId="0" borderId="9" xfId="0" applyBorder="1"/>
    <xf numFmtId="0" fontId="0" fillId="0" borderId="15" xfId="0" applyBorder="1"/>
    <xf numFmtId="0" fontId="6" fillId="0" borderId="16" xfId="0" applyFont="1" applyBorder="1" applyAlignment="1">
      <alignment horizontal="center"/>
    </xf>
    <xf numFmtId="0" fontId="0" fillId="3" borderId="5" xfId="0" applyFill="1" applyBorder="1"/>
    <xf numFmtId="0" fontId="0" fillId="3" borderId="13" xfId="0" applyFill="1" applyBorder="1"/>
    <xf numFmtId="0" fontId="0" fillId="3" borderId="7" xfId="0" applyFill="1" applyBorder="1"/>
    <xf numFmtId="0" fontId="0" fillId="3" borderId="14" xfId="0" applyFill="1" applyBorder="1"/>
    <xf numFmtId="0" fontId="0" fillId="3" borderId="8" xfId="0" applyFill="1" applyBorder="1" applyAlignment="1">
      <alignment horizontal="center"/>
    </xf>
    <xf numFmtId="0" fontId="0" fillId="0" borderId="6" xfId="0" applyBorder="1"/>
    <xf numFmtId="0" fontId="0" fillId="0" borderId="8" xfId="0" applyBorder="1"/>
    <xf numFmtId="0" fontId="6" fillId="0" borderId="9" xfId="0" applyFont="1" applyBorder="1"/>
    <xf numFmtId="0" fontId="0" fillId="0" borderId="10" xfId="0" applyBorder="1"/>
    <xf numFmtId="0" fontId="6" fillId="0" borderId="11" xfId="0" applyFont="1" applyFill="1" applyBorder="1" applyAlignment="1">
      <alignment horizontal="center"/>
    </xf>
    <xf numFmtId="0" fontId="6" fillId="0" borderId="12" xfId="0" applyFont="1" applyFill="1" applyBorder="1" applyAlignment="1">
      <alignment horizontal="center"/>
    </xf>
    <xf numFmtId="0" fontId="6" fillId="0" borderId="17" xfId="0" applyFont="1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3" borderId="19" xfId="0" applyFill="1" applyBorder="1"/>
    <xf numFmtId="0" fontId="0" fillId="3" borderId="20" xfId="0" applyFill="1" applyBorder="1"/>
    <xf numFmtId="0" fontId="6" fillId="3" borderId="21" xfId="0" applyFont="1" applyFill="1" applyBorder="1" applyAlignment="1">
      <alignment horizontal="left" vertical="center" wrapText="1"/>
    </xf>
    <xf numFmtId="0" fontId="0" fillId="3" borderId="22" xfId="0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/>
    <xf numFmtId="0" fontId="6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8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0" fillId="0" borderId="0" xfId="0" applyAlignment="1">
      <alignment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4" fillId="0" borderId="0" xfId="0" applyFont="1" applyAlignment="1">
      <alignment horizontal="right" vertical="center"/>
    </xf>
    <xf numFmtId="43" fontId="4" fillId="0" borderId="0" xfId="4" applyFont="1" applyAlignment="1">
      <alignment horizontal="left" vertical="center"/>
    </xf>
    <xf numFmtId="0" fontId="11" fillId="0" borderId="0" xfId="0" applyFont="1" applyAlignment="1">
      <alignment vertical="center"/>
    </xf>
    <xf numFmtId="164" fontId="2" fillId="0" borderId="0" xfId="1" applyNumberFormat="1" applyFont="1" applyAlignment="1">
      <alignment vertical="center"/>
    </xf>
    <xf numFmtId="164" fontId="2" fillId="0" borderId="0" xfId="1" applyNumberFormat="1" applyFont="1" applyAlignment="1">
      <alignment horizontal="center" vertical="center"/>
    </xf>
    <xf numFmtId="43" fontId="2" fillId="0" borderId="0" xfId="4" applyFont="1" applyAlignment="1">
      <alignment vertical="center"/>
    </xf>
    <xf numFmtId="164" fontId="2" fillId="0" borderId="0" xfId="1" applyNumberFormat="1" applyFont="1" applyAlignment="1" applyProtection="1">
      <alignment horizontal="center" vertical="center"/>
      <protection locked="0"/>
    </xf>
    <xf numFmtId="43" fontId="2" fillId="0" borderId="0" xfId="4" applyFont="1" applyAlignment="1">
      <alignment horizontal="left" vertical="center"/>
    </xf>
    <xf numFmtId="164" fontId="2" fillId="0" borderId="0" xfId="1" applyNumberFormat="1" applyFont="1" applyAlignment="1">
      <alignment horizontal="right" vertical="center"/>
    </xf>
    <xf numFmtId="43" fontId="2" fillId="0" borderId="0" xfId="4" applyFont="1" applyBorder="1" applyAlignment="1">
      <alignment horizontal="left" vertical="center"/>
    </xf>
    <xf numFmtId="2" fontId="4" fillId="2" borderId="1" xfId="0" applyNumberFormat="1" applyFont="1" applyFill="1" applyBorder="1" applyAlignment="1">
      <alignment horizontal="center" vertical="center"/>
    </xf>
    <xf numFmtId="2" fontId="4" fillId="0" borderId="1" xfId="0" applyNumberFormat="1" applyFont="1" applyBorder="1" applyAlignment="1">
      <alignment horizontal="center" vertical="center"/>
    </xf>
    <xf numFmtId="165" fontId="4" fillId="2" borderId="24" xfId="0" applyNumberFormat="1" applyFont="1" applyFill="1" applyBorder="1" applyAlignment="1">
      <alignment horizontal="left" vertical="center"/>
    </xf>
    <xf numFmtId="165" fontId="4" fillId="2" borderId="23" xfId="0" applyNumberFormat="1" applyFont="1" applyFill="1" applyBorder="1" applyAlignment="1">
      <alignment horizontal="right" vertical="center"/>
    </xf>
    <xf numFmtId="43" fontId="2" fillId="2" borderId="0" xfId="4" applyFont="1" applyFill="1" applyBorder="1" applyAlignment="1">
      <alignment horizontal="left" vertical="center"/>
    </xf>
    <xf numFmtId="43" fontId="4" fillId="2" borderId="0" xfId="4" applyFont="1" applyFill="1" applyAlignment="1">
      <alignment horizontal="left" vertical="center"/>
    </xf>
    <xf numFmtId="43" fontId="2" fillId="2" borderId="0" xfId="4" applyFont="1" applyFill="1" applyAlignment="1">
      <alignment horizontal="left" vertical="center"/>
    </xf>
    <xf numFmtId="166" fontId="4" fillId="2" borderId="0" xfId="4" applyNumberFormat="1" applyFont="1" applyFill="1" applyAlignment="1">
      <alignment horizontal="right" vertical="center"/>
    </xf>
    <xf numFmtId="43" fontId="2" fillId="0" borderId="0" xfId="4" applyFont="1" applyFill="1" applyBorder="1" applyAlignment="1">
      <alignment horizontal="left" vertical="center"/>
    </xf>
    <xf numFmtId="167" fontId="2" fillId="0" borderId="0" xfId="1" applyNumberFormat="1" applyFont="1" applyAlignment="1" applyProtection="1">
      <alignment horizontal="center" vertical="center"/>
      <protection locked="0"/>
    </xf>
    <xf numFmtId="168" fontId="2" fillId="0" borderId="0" xfId="1" applyNumberFormat="1" applyFont="1" applyAlignment="1" applyProtection="1">
      <alignment horizontal="center" vertical="center"/>
      <protection locked="0"/>
    </xf>
    <xf numFmtId="0" fontId="5" fillId="2" borderId="23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textRotation="90"/>
    </xf>
    <xf numFmtId="0" fontId="5" fillId="0" borderId="0" xfId="0" applyFont="1" applyAlignment="1">
      <alignment vertical="center" textRotation="90"/>
    </xf>
    <xf numFmtId="2" fontId="4" fillId="0" borderId="1" xfId="0" applyNumberFormat="1" applyFont="1" applyFill="1" applyBorder="1" applyAlignment="1">
      <alignment horizontal="center" vertical="center"/>
    </xf>
    <xf numFmtId="43" fontId="4" fillId="0" borderId="0" xfId="0" applyNumberFormat="1" applyFont="1" applyAlignment="1">
      <alignment vertical="center"/>
    </xf>
    <xf numFmtId="43" fontId="4" fillId="0" borderId="0" xfId="4" applyFont="1" applyFill="1" applyAlignment="1">
      <alignment horizontal="left" vertical="center"/>
    </xf>
    <xf numFmtId="43" fontId="4" fillId="2" borderId="0" xfId="4" applyFont="1" applyFill="1" applyAlignment="1">
      <alignment horizontal="center" vertical="center"/>
    </xf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43" fontId="14" fillId="0" borderId="0" xfId="0" applyNumberFormat="1" applyFont="1" applyAlignment="1">
      <alignment vertical="center"/>
    </xf>
    <xf numFmtId="0" fontId="1" fillId="0" borderId="1" xfId="1" applyBorder="1" applyAlignment="1">
      <alignment horizontal="center"/>
    </xf>
    <xf numFmtId="0" fontId="1" fillId="0" borderId="0" xfId="1"/>
    <xf numFmtId="0" fontId="1" fillId="0" borderId="1" xfId="1" applyBorder="1"/>
    <xf numFmtId="169" fontId="1" fillId="0" borderId="1" xfId="1" applyNumberFormat="1" applyBorder="1"/>
    <xf numFmtId="0" fontId="15" fillId="0" borderId="1" xfId="1" applyFont="1" applyBorder="1"/>
    <xf numFmtId="2" fontId="1" fillId="0" borderId="1" xfId="1" applyNumberFormat="1" applyBorder="1"/>
    <xf numFmtId="0" fontId="1" fillId="0" borderId="26" xfId="1" applyBorder="1" applyAlignment="1">
      <alignment horizontal="center"/>
    </xf>
    <xf numFmtId="0" fontId="1" fillId="0" borderId="0" xfId="1" applyAlignment="1">
      <alignment horizontal="center"/>
    </xf>
    <xf numFmtId="0" fontId="1" fillId="0" borderId="0" xfId="1" applyBorder="1"/>
    <xf numFmtId="1" fontId="1" fillId="0" borderId="1" xfId="1" applyNumberFormat="1" applyBorder="1"/>
    <xf numFmtId="0" fontId="1" fillId="0" borderId="0" xfId="1" applyFont="1"/>
    <xf numFmtId="0" fontId="15" fillId="0" borderId="1" xfId="1" applyFont="1" applyBorder="1" applyAlignment="1">
      <alignment horizontal="center"/>
    </xf>
    <xf numFmtId="169" fontId="15" fillId="0" borderId="1" xfId="1" applyNumberFormat="1" applyFont="1" applyBorder="1"/>
    <xf numFmtId="0" fontId="16" fillId="0" borderId="1" xfId="1" applyFont="1" applyBorder="1" applyAlignment="1">
      <alignment horizontal="center"/>
    </xf>
    <xf numFmtId="0" fontId="16" fillId="0" borderId="1" xfId="2" applyFont="1" applyBorder="1" applyAlignment="1" applyProtection="1">
      <alignment horizontal="center"/>
    </xf>
    <xf numFmtId="0" fontId="1" fillId="0" borderId="1" xfId="2" applyFont="1" applyBorder="1" applyAlignment="1" applyProtection="1">
      <alignment horizontal="center"/>
    </xf>
    <xf numFmtId="0" fontId="1" fillId="0" borderId="1" xfId="2" applyFont="1" applyFill="1" applyBorder="1" applyAlignment="1" applyProtection="1">
      <alignment horizontal="center"/>
    </xf>
    <xf numFmtId="0" fontId="1" fillId="0" borderId="1" xfId="2" applyFont="1" applyFill="1" applyBorder="1" applyAlignment="1" applyProtection="1">
      <alignment horizontal="center" vertical="center" wrapText="1"/>
    </xf>
    <xf numFmtId="170" fontId="16" fillId="0" borderId="1" xfId="2" applyNumberFormat="1" applyFont="1" applyFill="1" applyBorder="1" applyAlignment="1" applyProtection="1">
      <alignment horizontal="center"/>
    </xf>
    <xf numFmtId="0" fontId="16" fillId="0" borderId="1" xfId="2" applyFont="1" applyFill="1" applyBorder="1" applyAlignment="1" applyProtection="1">
      <alignment horizontal="center"/>
    </xf>
    <xf numFmtId="171" fontId="16" fillId="0" borderId="1" xfId="2" applyNumberFormat="1" applyFont="1" applyFill="1" applyBorder="1" applyAlignment="1" applyProtection="1">
      <alignment horizontal="center"/>
    </xf>
    <xf numFmtId="9" fontId="0" fillId="0" borderId="1" xfId="3" applyFont="1" applyFill="1" applyBorder="1" applyAlignment="1" applyProtection="1">
      <alignment horizontal="center"/>
    </xf>
    <xf numFmtId="172" fontId="18" fillId="0" borderId="23" xfId="2" applyNumberFormat="1" applyFont="1" applyBorder="1" applyProtection="1"/>
    <xf numFmtId="0" fontId="18" fillId="0" borderId="24" xfId="2" applyFont="1" applyFill="1" applyBorder="1" applyAlignment="1" applyProtection="1">
      <alignment horizontal="left"/>
    </xf>
    <xf numFmtId="0" fontId="5" fillId="2" borderId="23" xfId="0" applyFont="1" applyFill="1" applyBorder="1" applyAlignment="1">
      <alignment horizontal="center" vertical="center" wrapText="1"/>
    </xf>
    <xf numFmtId="165" fontId="4" fillId="2" borderId="28" xfId="0" applyNumberFormat="1" applyFont="1" applyFill="1" applyBorder="1" applyAlignment="1">
      <alignment horizontal="right" vertical="center"/>
    </xf>
    <xf numFmtId="165" fontId="4" fillId="2" borderId="29" xfId="0" applyNumberFormat="1" applyFont="1" applyFill="1" applyBorder="1" applyAlignment="1">
      <alignment horizontal="left" vertical="center"/>
    </xf>
    <xf numFmtId="0" fontId="4" fillId="0" borderId="0" xfId="0" applyFont="1" applyAlignment="1">
      <alignment horizontal="center"/>
    </xf>
    <xf numFmtId="43" fontId="4" fillId="0" borderId="1" xfId="4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1" fillId="0" borderId="0" xfId="0" applyFont="1" applyAlignment="1">
      <alignment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vertical="center"/>
    </xf>
    <xf numFmtId="4" fontId="20" fillId="5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right" vertical="center"/>
    </xf>
    <xf numFmtId="3" fontId="20" fillId="5" borderId="1" xfId="0" applyNumberFormat="1" applyFont="1" applyFill="1" applyBorder="1" applyAlignment="1">
      <alignment horizontal="center" vertical="center"/>
    </xf>
    <xf numFmtId="4" fontId="20" fillId="4" borderId="1" xfId="0" applyNumberFormat="1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vertical="center"/>
    </xf>
    <xf numFmtId="4" fontId="20" fillId="0" borderId="1" xfId="0" applyNumberFormat="1" applyFont="1" applyFill="1" applyBorder="1" applyAlignment="1">
      <alignment horizontal="center" vertical="center"/>
    </xf>
    <xf numFmtId="0" fontId="22" fillId="0" borderId="0" xfId="0" applyFont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23" fillId="0" borderId="0" xfId="0" applyFont="1" applyAlignment="1">
      <alignment vertical="center"/>
    </xf>
    <xf numFmtId="11" fontId="20" fillId="0" borderId="1" xfId="0" applyNumberFormat="1" applyFont="1" applyFill="1" applyBorder="1" applyAlignment="1">
      <alignment horizontal="center" vertical="center"/>
    </xf>
    <xf numFmtId="0" fontId="20" fillId="0" borderId="28" xfId="0" applyFont="1" applyFill="1" applyBorder="1" applyAlignment="1">
      <alignment horizontal="right" vertical="center"/>
    </xf>
    <xf numFmtId="43" fontId="24" fillId="0" borderId="29" xfId="4" applyFont="1" applyFill="1" applyBorder="1" applyAlignment="1">
      <alignment horizontal="left" vertical="center"/>
    </xf>
    <xf numFmtId="0" fontId="4" fillId="0" borderId="0" xfId="0" applyFont="1" applyAlignment="1">
      <alignment horizontal="center" vertical="center"/>
    </xf>
    <xf numFmtId="43" fontId="14" fillId="0" borderId="0" xfId="0" applyNumberFormat="1" applyFont="1" applyAlignment="1">
      <alignment horizontal="center" vertical="center"/>
    </xf>
    <xf numFmtId="2" fontId="5" fillId="0" borderId="2" xfId="0" applyNumberFormat="1" applyFont="1" applyFill="1" applyBorder="1" applyAlignment="1">
      <alignment horizontal="center" vertical="center"/>
    </xf>
    <xf numFmtId="2" fontId="5" fillId="0" borderId="1" xfId="0" applyNumberFormat="1" applyFont="1" applyFill="1" applyBorder="1" applyAlignment="1">
      <alignment horizontal="center" vertical="center"/>
    </xf>
    <xf numFmtId="2" fontId="5" fillId="0" borderId="3" xfId="0" applyNumberFormat="1" applyFont="1" applyFill="1" applyBorder="1" applyAlignment="1">
      <alignment horizontal="center" vertical="center"/>
    </xf>
    <xf numFmtId="43" fontId="5" fillId="0" borderId="0" xfId="0" applyNumberFormat="1" applyFont="1" applyAlignment="1">
      <alignment horizontal="center" vertical="center"/>
    </xf>
    <xf numFmtId="1" fontId="2" fillId="0" borderId="1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25" fillId="2" borderId="1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11" fontId="20" fillId="0" borderId="0" xfId="0" applyNumberFormat="1" applyFont="1" applyFill="1" applyBorder="1" applyAlignment="1">
      <alignment horizontal="center" vertical="center"/>
    </xf>
    <xf numFmtId="0" fontId="23" fillId="2" borderId="1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vertical="center"/>
    </xf>
    <xf numFmtId="0" fontId="4" fillId="2" borderId="1" xfId="0" applyFont="1" applyFill="1" applyBorder="1" applyAlignment="1">
      <alignment vertical="center"/>
    </xf>
    <xf numFmtId="0" fontId="26" fillId="2" borderId="1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" fillId="0" borderId="0" xfId="2" applyFont="1" applyFill="1" applyBorder="1" applyAlignment="1" applyProtection="1">
      <alignment horizontal="left"/>
    </xf>
    <xf numFmtId="43" fontId="2" fillId="0" borderId="0" xfId="4" applyFont="1" applyFill="1" applyAlignment="1">
      <alignment horizontal="left" vertical="center"/>
    </xf>
    <xf numFmtId="43" fontId="27" fillId="0" borderId="24" xfId="4" applyFont="1" applyFill="1" applyBorder="1" applyAlignment="1">
      <alignment horizontal="left" vertical="center"/>
    </xf>
    <xf numFmtId="0" fontId="5" fillId="0" borderId="23" xfId="0" applyFont="1" applyBorder="1" applyAlignment="1">
      <alignment horizontal="right" vertical="center"/>
    </xf>
    <xf numFmtId="0" fontId="4" fillId="0" borderId="0" xfId="0" applyFont="1" applyAlignment="1">
      <alignment horizontal="left" vertical="center"/>
    </xf>
    <xf numFmtId="164" fontId="2" fillId="0" borderId="0" xfId="1" applyNumberFormat="1" applyFont="1" applyAlignment="1">
      <alignment horizontal="left" vertical="center"/>
    </xf>
    <xf numFmtId="43" fontId="4" fillId="2" borderId="1" xfId="4" applyFont="1" applyFill="1" applyBorder="1" applyAlignment="1">
      <alignment horizontal="center" vertical="center"/>
    </xf>
    <xf numFmtId="43" fontId="4" fillId="2" borderId="1" xfId="4" applyFont="1" applyFill="1" applyBorder="1" applyAlignment="1">
      <alignment horizontal="left" vertical="center"/>
    </xf>
    <xf numFmtId="166" fontId="4" fillId="2" borderId="1" xfId="4" applyNumberFormat="1" applyFont="1" applyFill="1" applyBorder="1" applyAlignment="1">
      <alignment horizontal="right" vertical="center"/>
    </xf>
    <xf numFmtId="43" fontId="2" fillId="2" borderId="1" xfId="4" applyFont="1" applyFill="1" applyBorder="1" applyAlignment="1">
      <alignment horizontal="left" vertical="center"/>
    </xf>
    <xf numFmtId="4" fontId="20" fillId="2" borderId="1" xfId="0" applyNumberFormat="1" applyFont="1" applyFill="1" applyBorder="1" applyAlignment="1">
      <alignment horizontal="center" vertical="center"/>
    </xf>
    <xf numFmtId="173" fontId="20" fillId="2" borderId="1" xfId="0" applyNumberFormat="1" applyFont="1" applyFill="1" applyBorder="1" applyAlignment="1">
      <alignment horizontal="center" vertical="center"/>
    </xf>
    <xf numFmtId="3" fontId="20" fillId="4" borderId="1" xfId="0" applyNumberFormat="1" applyFont="1" applyFill="1" applyBorder="1" applyAlignment="1">
      <alignment horizontal="center" vertical="center"/>
    </xf>
    <xf numFmtId="0" fontId="5" fillId="2" borderId="23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1" fontId="4" fillId="0" borderId="0" xfId="0" applyNumberFormat="1" applyFont="1" applyAlignment="1">
      <alignment vertical="center"/>
    </xf>
    <xf numFmtId="1" fontId="23" fillId="0" borderId="0" xfId="0" applyNumberFormat="1" applyFont="1" applyAlignment="1">
      <alignment vertical="center"/>
    </xf>
    <xf numFmtId="1" fontId="5" fillId="0" borderId="0" xfId="0" applyNumberFormat="1" applyFont="1" applyAlignment="1">
      <alignment vertical="center"/>
    </xf>
    <xf numFmtId="1" fontId="22" fillId="0" borderId="0" xfId="0" applyNumberFormat="1" applyFont="1" applyAlignment="1">
      <alignment vertical="center"/>
    </xf>
    <xf numFmtId="1" fontId="2" fillId="0" borderId="0" xfId="1" applyNumberFormat="1" applyFont="1" applyAlignment="1">
      <alignment vertical="center"/>
    </xf>
    <xf numFmtId="1" fontId="2" fillId="0" borderId="0" xfId="1" applyNumberFormat="1" applyFont="1" applyAlignment="1">
      <alignment horizontal="right" vertical="center"/>
    </xf>
    <xf numFmtId="1" fontId="4" fillId="2" borderId="23" xfId="0" applyNumberFormat="1" applyFont="1" applyFill="1" applyBorder="1" applyAlignment="1">
      <alignment horizontal="right" vertical="center"/>
    </xf>
    <xf numFmtId="1" fontId="5" fillId="2" borderId="24" xfId="0" applyNumberFormat="1" applyFont="1" applyFill="1" applyBorder="1" applyAlignment="1">
      <alignment horizontal="center" vertical="center" wrapText="1"/>
    </xf>
    <xf numFmtId="1" fontId="4" fillId="2" borderId="24" xfId="0" applyNumberFormat="1" applyFont="1" applyFill="1" applyBorder="1" applyAlignment="1">
      <alignment horizontal="center" vertical="center"/>
    </xf>
    <xf numFmtId="1" fontId="4" fillId="0" borderId="25" xfId="0" applyNumberFormat="1" applyFont="1" applyFill="1" applyBorder="1" applyAlignment="1">
      <alignment horizontal="center" vertical="center"/>
    </xf>
    <xf numFmtId="1" fontId="4" fillId="0" borderId="24" xfId="0" applyNumberFormat="1" applyFont="1" applyFill="1" applyBorder="1" applyAlignment="1">
      <alignment horizontal="left" vertical="center"/>
    </xf>
    <xf numFmtId="2" fontId="4" fillId="2" borderId="24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/>
    </xf>
    <xf numFmtId="0" fontId="0" fillId="0" borderId="26" xfId="0" applyBorder="1"/>
    <xf numFmtId="0" fontId="29" fillId="0" borderId="1" xfId="0" applyFont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0" fontId="28" fillId="0" borderId="2" xfId="0" applyFont="1" applyBorder="1"/>
    <xf numFmtId="164" fontId="0" fillId="0" borderId="1" xfId="0" applyNumberFormat="1" applyBorder="1"/>
    <xf numFmtId="0" fontId="0" fillId="6" borderId="23" xfId="0" applyFill="1" applyBorder="1" applyAlignment="1"/>
    <xf numFmtId="0" fontId="16" fillId="0" borderId="0" xfId="0" applyFont="1" applyAlignment="1">
      <alignment horizontal="center"/>
    </xf>
    <xf numFmtId="0" fontId="31" fillId="0" borderId="0" xfId="0" applyFont="1" applyAlignment="1">
      <alignment vertical="center"/>
    </xf>
    <xf numFmtId="0" fontId="31" fillId="0" borderId="0" xfId="0" applyFont="1" applyAlignment="1">
      <alignment horizontal="center" vertical="center"/>
    </xf>
    <xf numFmtId="4" fontId="32" fillId="5" borderId="1" xfId="0" applyNumberFormat="1" applyFont="1" applyFill="1" applyBorder="1" applyAlignment="1">
      <alignment horizontal="center" vertical="center"/>
    </xf>
    <xf numFmtId="0" fontId="31" fillId="0" borderId="1" xfId="0" applyFont="1" applyBorder="1" applyAlignment="1">
      <alignment horizontal="right" vertical="center"/>
    </xf>
    <xf numFmtId="4" fontId="32" fillId="4" borderId="1" xfId="0" applyNumberFormat="1" applyFont="1" applyFill="1" applyBorder="1" applyAlignment="1">
      <alignment horizontal="center" vertical="center"/>
    </xf>
    <xf numFmtId="3" fontId="32" fillId="5" borderId="1" xfId="0" applyNumberFormat="1" applyFont="1" applyFill="1" applyBorder="1" applyAlignment="1">
      <alignment horizontal="center" vertical="center"/>
    </xf>
    <xf numFmtId="4" fontId="32" fillId="5" borderId="2" xfId="0" applyNumberFormat="1" applyFont="1" applyFill="1" applyBorder="1" applyAlignment="1">
      <alignment horizontal="center" vertical="center"/>
    </xf>
    <xf numFmtId="0" fontId="31" fillId="0" borderId="25" xfId="0" applyFont="1" applyFill="1" applyBorder="1" applyAlignment="1">
      <alignment horizontal="left" vertical="center"/>
    </xf>
    <xf numFmtId="4" fontId="32" fillId="0" borderId="25" xfId="0" applyNumberFormat="1" applyFont="1" applyFill="1" applyBorder="1" applyAlignment="1">
      <alignment horizontal="center" vertical="center"/>
    </xf>
    <xf numFmtId="0" fontId="32" fillId="4" borderId="1" xfId="0" applyFont="1" applyFill="1" applyBorder="1" applyAlignment="1">
      <alignment horizontal="center"/>
    </xf>
    <xf numFmtId="0" fontId="32" fillId="0" borderId="1" xfId="0" applyFont="1" applyFill="1" applyBorder="1" applyAlignment="1">
      <alignment horizontal="center"/>
    </xf>
    <xf numFmtId="2" fontId="19" fillId="4" borderId="1" xfId="0" applyNumberFormat="1" applyFont="1" applyFill="1" applyBorder="1" applyAlignment="1">
      <alignment horizontal="center"/>
    </xf>
    <xf numFmtId="174" fontId="19" fillId="0" borderId="1" xfId="0" applyNumberFormat="1" applyFont="1" applyFill="1" applyBorder="1" applyAlignment="1">
      <alignment horizontal="center"/>
    </xf>
    <xf numFmtId="0" fontId="30" fillId="0" borderId="23" xfId="2" applyFont="1" applyFill="1" applyBorder="1" applyAlignment="1" applyProtection="1">
      <alignment vertical="center"/>
    </xf>
    <xf numFmtId="0" fontId="30" fillId="0" borderId="0" xfId="2" applyFont="1" applyFill="1" applyBorder="1" applyAlignment="1" applyProtection="1">
      <alignment vertical="center"/>
    </xf>
    <xf numFmtId="0" fontId="31" fillId="0" borderId="0" xfId="0" applyFont="1" applyBorder="1" applyAlignment="1">
      <alignment horizontal="right" vertical="center"/>
    </xf>
    <xf numFmtId="4" fontId="32" fillId="4" borderId="0" xfId="0" applyNumberFormat="1" applyFont="1" applyFill="1" applyBorder="1" applyAlignment="1">
      <alignment horizontal="center" vertical="center"/>
    </xf>
    <xf numFmtId="0" fontId="26" fillId="0" borderId="0" xfId="0" applyFont="1" applyAlignment="1">
      <alignment vertical="center"/>
    </xf>
    <xf numFmtId="0" fontId="0" fillId="0" borderId="1" xfId="0" applyBorder="1"/>
    <xf numFmtId="0" fontId="0" fillId="0" borderId="0" xfId="0" applyNumberFormat="1"/>
    <xf numFmtId="0" fontId="35" fillId="0" borderId="1" xfId="0" applyFont="1" applyBorder="1" applyAlignment="1">
      <alignment horizontal="center"/>
    </xf>
    <xf numFmtId="0" fontId="35" fillId="0" borderId="1" xfId="0" applyNumberFormat="1" applyFont="1" applyBorder="1" applyAlignment="1">
      <alignment horizontal="center"/>
    </xf>
    <xf numFmtId="0" fontId="0" fillId="0" borderId="1" xfId="0" applyNumberFormat="1" applyBorder="1"/>
    <xf numFmtId="0" fontId="37" fillId="0" borderId="0" xfId="0" applyFont="1" applyAlignment="1">
      <alignment vertical="center" wrapText="1"/>
    </xf>
    <xf numFmtId="0" fontId="25" fillId="0" borderId="1" xfId="0" applyNumberFormat="1" applyFont="1" applyBorder="1" applyAlignment="1">
      <alignment horizontal="center"/>
    </xf>
    <xf numFmtId="0" fontId="25" fillId="0" borderId="33" xfId="0" applyFont="1" applyBorder="1" applyAlignment="1">
      <alignment horizontal="center"/>
    </xf>
    <xf numFmtId="0" fontId="25" fillId="0" borderId="34" xfId="0" applyFont="1" applyBorder="1" applyAlignment="1">
      <alignment horizontal="center"/>
    </xf>
    <xf numFmtId="0" fontId="0" fillId="0" borderId="36" xfId="0" applyBorder="1"/>
    <xf numFmtId="0" fontId="0" fillId="0" borderId="37" xfId="0" applyBorder="1"/>
    <xf numFmtId="0" fontId="0" fillId="0" borderId="33" xfId="0" applyBorder="1"/>
    <xf numFmtId="0" fontId="0" fillId="0" borderId="38" xfId="0" applyBorder="1"/>
    <xf numFmtId="0" fontId="0" fillId="0" borderId="34" xfId="0" applyBorder="1"/>
    <xf numFmtId="0" fontId="5" fillId="2" borderId="30" xfId="0" applyFont="1" applyFill="1" applyBorder="1" applyAlignment="1">
      <alignment horizontal="center" vertical="center" wrapText="1"/>
    </xf>
    <xf numFmtId="0" fontId="5" fillId="2" borderId="31" xfId="0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0" fontId="5" fillId="2" borderId="29" xfId="0" applyFont="1" applyFill="1" applyBorder="1" applyAlignment="1">
      <alignment horizontal="center" vertical="center" wrapText="1"/>
    </xf>
    <xf numFmtId="0" fontId="5" fillId="2" borderId="23" xfId="0" applyFont="1" applyFill="1" applyBorder="1" applyAlignment="1">
      <alignment horizontal="center" vertical="center" wrapText="1"/>
    </xf>
    <xf numFmtId="0" fontId="5" fillId="2" borderId="25" xfId="0" applyFont="1" applyFill="1" applyBorder="1" applyAlignment="1">
      <alignment horizontal="center" vertical="center" wrapText="1"/>
    </xf>
    <xf numFmtId="0" fontId="5" fillId="2" borderId="24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9" fillId="0" borderId="1" xfId="2" applyFont="1" applyBorder="1" applyAlignment="1" applyProtection="1">
      <alignment horizontal="left" vertical="center"/>
    </xf>
    <xf numFmtId="0" fontId="19" fillId="0" borderId="1" xfId="2" applyFont="1" applyFill="1" applyBorder="1" applyAlignment="1" applyProtection="1">
      <alignment horizontal="left" vertical="center"/>
    </xf>
    <xf numFmtId="0" fontId="5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5" fillId="0" borderId="23" xfId="0" applyFont="1" applyBorder="1" applyAlignment="1">
      <alignment horizontal="center" vertical="center"/>
    </xf>
    <xf numFmtId="0" fontId="5" fillId="0" borderId="24" xfId="0" applyFont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165" fontId="4" fillId="2" borderId="23" xfId="0" applyNumberFormat="1" applyFont="1" applyFill="1" applyBorder="1" applyAlignment="1">
      <alignment horizontal="center" vertical="center"/>
    </xf>
    <xf numFmtId="165" fontId="4" fillId="2" borderId="25" xfId="0" applyNumberFormat="1" applyFont="1" applyFill="1" applyBorder="1" applyAlignment="1">
      <alignment horizontal="center" vertical="center"/>
    </xf>
    <xf numFmtId="165" fontId="4" fillId="2" borderId="24" xfId="0" applyNumberFormat="1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/>
    </xf>
    <xf numFmtId="0" fontId="24" fillId="0" borderId="23" xfId="0" applyFont="1" applyFill="1" applyBorder="1" applyAlignment="1">
      <alignment horizontal="center" vertical="center"/>
    </xf>
    <xf numFmtId="0" fontId="24" fillId="0" borderId="24" xfId="0" applyFont="1" applyFill="1" applyBorder="1" applyAlignment="1">
      <alignment horizontal="center" vertical="center"/>
    </xf>
    <xf numFmtId="1" fontId="5" fillId="2" borderId="23" xfId="0" applyNumberFormat="1" applyFont="1" applyFill="1" applyBorder="1" applyAlignment="1">
      <alignment horizontal="center" vertical="center" wrapText="1"/>
    </xf>
    <xf numFmtId="1" fontId="5" fillId="2" borderId="25" xfId="0" applyNumberFormat="1" applyFont="1" applyFill="1" applyBorder="1" applyAlignment="1">
      <alignment horizontal="center" vertical="center" wrapText="1"/>
    </xf>
    <xf numFmtId="1" fontId="5" fillId="2" borderId="24" xfId="0" applyNumberFormat="1" applyFont="1" applyFill="1" applyBorder="1" applyAlignment="1">
      <alignment horizontal="center" vertical="center" wrapText="1"/>
    </xf>
    <xf numFmtId="0" fontId="31" fillId="0" borderId="1" xfId="0" applyFont="1" applyBorder="1" applyAlignment="1">
      <alignment horizontal="left" vertical="center"/>
    </xf>
    <xf numFmtId="0" fontId="34" fillId="0" borderId="0" xfId="0" applyFont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23" xfId="0" applyFont="1" applyBorder="1" applyAlignment="1">
      <alignment horizontal="center" vertical="center"/>
    </xf>
    <xf numFmtId="0" fontId="7" fillId="0" borderId="24" xfId="0" applyFont="1" applyBorder="1" applyAlignment="1">
      <alignment horizontal="center" vertical="center"/>
    </xf>
    <xf numFmtId="0" fontId="31" fillId="0" borderId="23" xfId="0" applyFont="1" applyBorder="1" applyAlignment="1">
      <alignment horizontal="left" vertical="center"/>
    </xf>
    <xf numFmtId="0" fontId="31" fillId="0" borderId="25" xfId="0" applyFont="1" applyBorder="1" applyAlignment="1">
      <alignment horizontal="left" vertical="center"/>
    </xf>
    <xf numFmtId="0" fontId="31" fillId="0" borderId="24" xfId="0" applyFont="1" applyBorder="1" applyAlignment="1">
      <alignment horizontal="left" vertical="center"/>
    </xf>
    <xf numFmtId="4" fontId="33" fillId="0" borderId="1" xfId="0" applyNumberFormat="1" applyFont="1" applyFill="1" applyBorder="1" applyAlignment="1">
      <alignment horizontal="center" vertical="center"/>
    </xf>
    <xf numFmtId="3" fontId="32" fillId="5" borderId="23" xfId="0" applyNumberFormat="1" applyFont="1" applyFill="1" applyBorder="1" applyAlignment="1">
      <alignment horizontal="center" vertical="center"/>
    </xf>
    <xf numFmtId="3" fontId="32" fillId="5" borderId="25" xfId="0" applyNumberFormat="1" applyFont="1" applyFill="1" applyBorder="1" applyAlignment="1">
      <alignment horizontal="center" vertical="center"/>
    </xf>
    <xf numFmtId="3" fontId="32" fillId="5" borderId="24" xfId="0" applyNumberFormat="1" applyFont="1" applyFill="1" applyBorder="1" applyAlignment="1">
      <alignment horizontal="center" vertical="center"/>
    </xf>
    <xf numFmtId="0" fontId="36" fillId="0" borderId="1" xfId="0" applyFont="1" applyBorder="1" applyAlignment="1">
      <alignment horizontal="center" vertical="center" wrapText="1"/>
    </xf>
    <xf numFmtId="0" fontId="36" fillId="0" borderId="32" xfId="0" applyFont="1" applyBorder="1" applyAlignment="1">
      <alignment horizontal="center" vertical="center" wrapText="1"/>
    </xf>
    <xf numFmtId="0" fontId="36" fillId="0" borderId="35" xfId="0" applyFont="1" applyBorder="1" applyAlignment="1">
      <alignment horizontal="center" vertical="center" wrapText="1"/>
    </xf>
    <xf numFmtId="0" fontId="16" fillId="0" borderId="1" xfId="2" applyFont="1" applyFill="1" applyBorder="1" applyAlignment="1" applyProtection="1">
      <alignment horizontal="center"/>
    </xf>
    <xf numFmtId="170" fontId="18" fillId="0" borderId="1" xfId="2" applyNumberFormat="1" applyFont="1" applyFill="1" applyBorder="1" applyAlignment="1" applyProtection="1">
      <alignment horizontal="center"/>
    </xf>
    <xf numFmtId="171" fontId="18" fillId="0" borderId="1" xfId="2" applyNumberFormat="1" applyFont="1" applyBorder="1" applyAlignment="1" applyProtection="1">
      <alignment horizontal="center"/>
    </xf>
    <xf numFmtId="0" fontId="1" fillId="0" borderId="1" xfId="2" applyFont="1" applyFill="1" applyBorder="1" applyAlignment="1" applyProtection="1">
      <alignment horizontal="center"/>
    </xf>
    <xf numFmtId="0" fontId="1" fillId="0" borderId="27" xfId="2" applyFont="1" applyFill="1" applyBorder="1" applyAlignment="1" applyProtection="1">
      <alignment horizontal="left"/>
    </xf>
    <xf numFmtId="0" fontId="1" fillId="0" borderId="0" xfId="2" applyFont="1" applyFill="1" applyBorder="1" applyAlignment="1" applyProtection="1">
      <alignment horizontal="left"/>
    </xf>
    <xf numFmtId="0" fontId="1" fillId="0" borderId="1" xfId="2" applyFont="1" applyBorder="1" applyAlignment="1" applyProtection="1">
      <alignment horizontal="left"/>
    </xf>
    <xf numFmtId="0" fontId="1" fillId="0" borderId="1" xfId="2" applyFont="1" applyFill="1" applyBorder="1" applyAlignment="1" applyProtection="1">
      <alignment horizontal="left"/>
    </xf>
    <xf numFmtId="0" fontId="1" fillId="0" borderId="23" xfId="2" applyFont="1" applyFill="1" applyBorder="1" applyAlignment="1" applyProtection="1">
      <alignment horizontal="left" vertical="center"/>
    </xf>
    <xf numFmtId="0" fontId="1" fillId="0" borderId="25" xfId="2" applyFont="1" applyFill="1" applyBorder="1" applyAlignment="1" applyProtection="1">
      <alignment horizontal="left" vertical="center"/>
    </xf>
    <xf numFmtId="0" fontId="1" fillId="0" borderId="24" xfId="2" applyFont="1" applyFill="1" applyBorder="1" applyAlignment="1" applyProtection="1">
      <alignment horizontal="left" vertical="center"/>
    </xf>
  </cellXfs>
  <cellStyles count="5">
    <cellStyle name="Millares" xfId="4" builtinId="3"/>
    <cellStyle name="Normal" xfId="0" builtinId="0"/>
    <cellStyle name="Normal 2" xfId="1"/>
    <cellStyle name="Normal 3" xfId="2"/>
    <cellStyle name="Porcentual 2" xfId="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PE"/>
  <c:chart>
    <c:title>
      <c:tx>
        <c:rich>
          <a:bodyPr/>
          <a:lstStyle/>
          <a:p>
            <a:pPr algn="ctr">
              <a:defRPr sz="825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ESPECTRO DE SISMO NORMA E-030 2003</a:t>
            </a:r>
          </a:p>
        </c:rich>
      </c:tx>
      <c:layout>
        <c:manualLayout>
          <c:xMode val="edge"/>
          <c:yMode val="edge"/>
          <c:x val="0.2797376221446306"/>
          <c:y val="2.066108061475051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3091922005571041"/>
          <c:y val="0.11157024793388441"/>
          <c:w val="0.8189415041782736"/>
          <c:h val="0.73553719008264407"/>
        </c:manualLayout>
      </c:layout>
      <c:scatterChart>
        <c:scatterStyle val="smoothMarker"/>
        <c:ser>
          <c:idx val="0"/>
          <c:order val="0"/>
          <c:tx>
            <c:v>SaX</c:v>
          </c:tx>
          <c:marker>
            <c:symbol val="none"/>
          </c:marker>
          <c:xVal>
            <c:numRef>
              <c:f>ESPECTRO!$B$26:$B$70</c:f>
              <c:numCache>
                <c:formatCode>0.00</c:formatCode>
                <c:ptCount val="45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0.45</c:v>
                </c:pt>
                <c:pt idx="4">
                  <c:v>0.5</c:v>
                </c:pt>
                <c:pt idx="5">
                  <c:v>0.55000000000000004</c:v>
                </c:pt>
                <c:pt idx="6">
                  <c:v>0.60000000000000009</c:v>
                </c:pt>
                <c:pt idx="7">
                  <c:v>0.65000000000000013</c:v>
                </c:pt>
                <c:pt idx="8">
                  <c:v>0.70000000000000018</c:v>
                </c:pt>
                <c:pt idx="9">
                  <c:v>0.75000000000000022</c:v>
                </c:pt>
                <c:pt idx="10">
                  <c:v>0.80000000000000027</c:v>
                </c:pt>
                <c:pt idx="11">
                  <c:v>0.85000000000000031</c:v>
                </c:pt>
                <c:pt idx="12">
                  <c:v>0.90000000000000036</c:v>
                </c:pt>
                <c:pt idx="13">
                  <c:v>0.9500000000000004</c:v>
                </c:pt>
                <c:pt idx="14">
                  <c:v>1.0000000000000004</c:v>
                </c:pt>
                <c:pt idx="15">
                  <c:v>1.0500000000000005</c:v>
                </c:pt>
                <c:pt idx="16">
                  <c:v>1.1000000000000005</c:v>
                </c:pt>
                <c:pt idx="17">
                  <c:v>1.1500000000000006</c:v>
                </c:pt>
                <c:pt idx="18">
                  <c:v>1.2000000000000006</c:v>
                </c:pt>
                <c:pt idx="19">
                  <c:v>1.2500000000000007</c:v>
                </c:pt>
                <c:pt idx="20">
                  <c:v>1.3000000000000007</c:v>
                </c:pt>
                <c:pt idx="21">
                  <c:v>1.3500000000000008</c:v>
                </c:pt>
                <c:pt idx="22">
                  <c:v>1.4000000000000008</c:v>
                </c:pt>
                <c:pt idx="23">
                  <c:v>1.4500000000000008</c:v>
                </c:pt>
                <c:pt idx="24">
                  <c:v>1.5000000000000009</c:v>
                </c:pt>
                <c:pt idx="25">
                  <c:v>1.5500000000000009</c:v>
                </c:pt>
                <c:pt idx="26">
                  <c:v>1.600000000000001</c:v>
                </c:pt>
                <c:pt idx="27">
                  <c:v>1.650000000000001</c:v>
                </c:pt>
                <c:pt idx="28">
                  <c:v>1.7000000000000011</c:v>
                </c:pt>
                <c:pt idx="29">
                  <c:v>1.7500000000000011</c:v>
                </c:pt>
                <c:pt idx="30">
                  <c:v>1.8000000000000012</c:v>
                </c:pt>
                <c:pt idx="31">
                  <c:v>1.8500000000000012</c:v>
                </c:pt>
                <c:pt idx="32">
                  <c:v>1.9000000000000012</c:v>
                </c:pt>
                <c:pt idx="33">
                  <c:v>1.9500000000000013</c:v>
                </c:pt>
                <c:pt idx="34">
                  <c:v>2.0000000000000013</c:v>
                </c:pt>
                <c:pt idx="35">
                  <c:v>2.0500000000000012</c:v>
                </c:pt>
                <c:pt idx="36">
                  <c:v>2.100000000000001</c:v>
                </c:pt>
                <c:pt idx="37">
                  <c:v>2.1500000000000008</c:v>
                </c:pt>
                <c:pt idx="38">
                  <c:v>2.2000000000000006</c:v>
                </c:pt>
                <c:pt idx="39">
                  <c:v>2.2500000000000004</c:v>
                </c:pt>
                <c:pt idx="40">
                  <c:v>2.3000000000000003</c:v>
                </c:pt>
                <c:pt idx="41">
                  <c:v>2.35</c:v>
                </c:pt>
                <c:pt idx="42">
                  <c:v>2.4</c:v>
                </c:pt>
                <c:pt idx="43">
                  <c:v>2.4499999999999997</c:v>
                </c:pt>
                <c:pt idx="44">
                  <c:v>2.4999999999999996</c:v>
                </c:pt>
              </c:numCache>
            </c:numRef>
          </c:xVal>
          <c:yVal>
            <c:numRef>
              <c:f>ESPECTRO!$D$26:$D$70</c:f>
              <c:numCache>
                <c:formatCode>0.0000</c:formatCode>
                <c:ptCount val="45"/>
                <c:pt idx="0">
                  <c:v>0.39999999999999997</c:v>
                </c:pt>
                <c:pt idx="1">
                  <c:v>0.39999999999999997</c:v>
                </c:pt>
                <c:pt idx="2">
                  <c:v>0.39999999999999997</c:v>
                </c:pt>
                <c:pt idx="3">
                  <c:v>0.39999999999999997</c:v>
                </c:pt>
                <c:pt idx="4">
                  <c:v>0.39999999999999997</c:v>
                </c:pt>
                <c:pt idx="5">
                  <c:v>0.39999999999999997</c:v>
                </c:pt>
                <c:pt idx="6">
                  <c:v>0.39999999999999991</c:v>
                </c:pt>
                <c:pt idx="7">
                  <c:v>0.3692307692307692</c:v>
                </c:pt>
                <c:pt idx="8">
                  <c:v>0.34285714285714275</c:v>
                </c:pt>
                <c:pt idx="9">
                  <c:v>0.3199999999999999</c:v>
                </c:pt>
                <c:pt idx="10">
                  <c:v>0.29999999999999993</c:v>
                </c:pt>
                <c:pt idx="11">
                  <c:v>0.28235294117647047</c:v>
                </c:pt>
                <c:pt idx="12">
                  <c:v>0.26666666666666655</c:v>
                </c:pt>
                <c:pt idx="13">
                  <c:v>0.25263157894736832</c:v>
                </c:pt>
                <c:pt idx="14">
                  <c:v>0.23999999999999988</c:v>
                </c:pt>
                <c:pt idx="15">
                  <c:v>0.22857142857142845</c:v>
                </c:pt>
                <c:pt idx="16">
                  <c:v>0.21818181818181806</c:v>
                </c:pt>
                <c:pt idx="17">
                  <c:v>0.20869565217391292</c:v>
                </c:pt>
                <c:pt idx="18">
                  <c:v>0.19999999999999987</c:v>
                </c:pt>
                <c:pt idx="19">
                  <c:v>0.19199999999999987</c:v>
                </c:pt>
                <c:pt idx="20">
                  <c:v>0.18461538461538451</c:v>
                </c:pt>
                <c:pt idx="21">
                  <c:v>0.17777777777777767</c:v>
                </c:pt>
                <c:pt idx="22">
                  <c:v>0.17142857142857132</c:v>
                </c:pt>
                <c:pt idx="23">
                  <c:v>0.16551724137931023</c:v>
                </c:pt>
                <c:pt idx="24">
                  <c:v>0.15999999999999989</c:v>
                </c:pt>
                <c:pt idx="25">
                  <c:v>0.15483870967741925</c:v>
                </c:pt>
                <c:pt idx="26">
                  <c:v>0.14999999999999991</c:v>
                </c:pt>
                <c:pt idx="27">
                  <c:v>0.14545454545454536</c:v>
                </c:pt>
                <c:pt idx="28">
                  <c:v>0.14117647058823518</c:v>
                </c:pt>
                <c:pt idx="29">
                  <c:v>0.13714285714285704</c:v>
                </c:pt>
                <c:pt idx="30">
                  <c:v>0.13333333333333322</c:v>
                </c:pt>
                <c:pt idx="31">
                  <c:v>0.12972972972972963</c:v>
                </c:pt>
                <c:pt idx="32">
                  <c:v>0.1263157894736841</c:v>
                </c:pt>
                <c:pt idx="33">
                  <c:v>0.12307692307692299</c:v>
                </c:pt>
                <c:pt idx="34">
                  <c:v>0.11999999999999991</c:v>
                </c:pt>
                <c:pt idx="35">
                  <c:v>0.11707317073170725</c:v>
                </c:pt>
                <c:pt idx="36">
                  <c:v>0.11428571428571423</c:v>
                </c:pt>
                <c:pt idx="37">
                  <c:v>0.11162790697674413</c:v>
                </c:pt>
                <c:pt idx="38">
                  <c:v>0.10909090909090907</c:v>
                </c:pt>
                <c:pt idx="39">
                  <c:v>0.10666666666666663</c:v>
                </c:pt>
                <c:pt idx="40">
                  <c:v>0.10434782608695649</c:v>
                </c:pt>
                <c:pt idx="41">
                  <c:v>0.10212765957446807</c:v>
                </c:pt>
                <c:pt idx="42">
                  <c:v>9.9999999999999992E-2</c:v>
                </c:pt>
                <c:pt idx="43">
                  <c:v>9.7959183673469397E-2</c:v>
                </c:pt>
                <c:pt idx="44">
                  <c:v>9.6000000000000016E-2</c:v>
                </c:pt>
              </c:numCache>
            </c:numRef>
          </c:yVal>
          <c:smooth val="1"/>
        </c:ser>
        <c:ser>
          <c:idx val="1"/>
          <c:order val="1"/>
          <c:tx>
            <c:v>SaY</c:v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ESPECTRO!$B$26:$B$70</c:f>
              <c:numCache>
                <c:formatCode>0.00</c:formatCode>
                <c:ptCount val="45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0.45</c:v>
                </c:pt>
                <c:pt idx="4">
                  <c:v>0.5</c:v>
                </c:pt>
                <c:pt idx="5">
                  <c:v>0.55000000000000004</c:v>
                </c:pt>
                <c:pt idx="6">
                  <c:v>0.60000000000000009</c:v>
                </c:pt>
                <c:pt idx="7">
                  <c:v>0.65000000000000013</c:v>
                </c:pt>
                <c:pt idx="8">
                  <c:v>0.70000000000000018</c:v>
                </c:pt>
                <c:pt idx="9">
                  <c:v>0.75000000000000022</c:v>
                </c:pt>
                <c:pt idx="10">
                  <c:v>0.80000000000000027</c:v>
                </c:pt>
                <c:pt idx="11">
                  <c:v>0.85000000000000031</c:v>
                </c:pt>
                <c:pt idx="12">
                  <c:v>0.90000000000000036</c:v>
                </c:pt>
                <c:pt idx="13">
                  <c:v>0.9500000000000004</c:v>
                </c:pt>
                <c:pt idx="14">
                  <c:v>1.0000000000000004</c:v>
                </c:pt>
                <c:pt idx="15">
                  <c:v>1.0500000000000005</c:v>
                </c:pt>
                <c:pt idx="16">
                  <c:v>1.1000000000000005</c:v>
                </c:pt>
                <c:pt idx="17">
                  <c:v>1.1500000000000006</c:v>
                </c:pt>
                <c:pt idx="18">
                  <c:v>1.2000000000000006</c:v>
                </c:pt>
                <c:pt idx="19">
                  <c:v>1.2500000000000007</c:v>
                </c:pt>
                <c:pt idx="20">
                  <c:v>1.3000000000000007</c:v>
                </c:pt>
                <c:pt idx="21">
                  <c:v>1.3500000000000008</c:v>
                </c:pt>
                <c:pt idx="22">
                  <c:v>1.4000000000000008</c:v>
                </c:pt>
                <c:pt idx="23">
                  <c:v>1.4500000000000008</c:v>
                </c:pt>
                <c:pt idx="24">
                  <c:v>1.5000000000000009</c:v>
                </c:pt>
                <c:pt idx="25">
                  <c:v>1.5500000000000009</c:v>
                </c:pt>
                <c:pt idx="26">
                  <c:v>1.600000000000001</c:v>
                </c:pt>
                <c:pt idx="27">
                  <c:v>1.650000000000001</c:v>
                </c:pt>
                <c:pt idx="28">
                  <c:v>1.7000000000000011</c:v>
                </c:pt>
                <c:pt idx="29">
                  <c:v>1.7500000000000011</c:v>
                </c:pt>
                <c:pt idx="30">
                  <c:v>1.8000000000000012</c:v>
                </c:pt>
                <c:pt idx="31">
                  <c:v>1.8500000000000012</c:v>
                </c:pt>
                <c:pt idx="32">
                  <c:v>1.9000000000000012</c:v>
                </c:pt>
                <c:pt idx="33">
                  <c:v>1.9500000000000013</c:v>
                </c:pt>
                <c:pt idx="34">
                  <c:v>2.0000000000000013</c:v>
                </c:pt>
                <c:pt idx="35">
                  <c:v>2.0500000000000012</c:v>
                </c:pt>
                <c:pt idx="36">
                  <c:v>2.100000000000001</c:v>
                </c:pt>
                <c:pt idx="37">
                  <c:v>2.1500000000000008</c:v>
                </c:pt>
                <c:pt idx="38">
                  <c:v>2.2000000000000006</c:v>
                </c:pt>
                <c:pt idx="39">
                  <c:v>2.2500000000000004</c:v>
                </c:pt>
                <c:pt idx="40">
                  <c:v>2.3000000000000003</c:v>
                </c:pt>
                <c:pt idx="41">
                  <c:v>2.35</c:v>
                </c:pt>
                <c:pt idx="42">
                  <c:v>2.4</c:v>
                </c:pt>
                <c:pt idx="43">
                  <c:v>2.4499999999999997</c:v>
                </c:pt>
                <c:pt idx="44">
                  <c:v>2.4999999999999996</c:v>
                </c:pt>
              </c:numCache>
            </c:numRef>
          </c:xVal>
          <c:yVal>
            <c:numRef>
              <c:f>ESPECTRO!$E$26:$E$70</c:f>
              <c:numCache>
                <c:formatCode>0.0000</c:formatCode>
                <c:ptCount val="45"/>
                <c:pt idx="0">
                  <c:v>0.15</c:v>
                </c:pt>
                <c:pt idx="1">
                  <c:v>0.15</c:v>
                </c:pt>
                <c:pt idx="2">
                  <c:v>0.15</c:v>
                </c:pt>
                <c:pt idx="3">
                  <c:v>0.15</c:v>
                </c:pt>
                <c:pt idx="4">
                  <c:v>0.15</c:v>
                </c:pt>
                <c:pt idx="5">
                  <c:v>0.15</c:v>
                </c:pt>
                <c:pt idx="6">
                  <c:v>0.14999999999999997</c:v>
                </c:pt>
                <c:pt idx="7">
                  <c:v>0.13846153846153844</c:v>
                </c:pt>
                <c:pt idx="8">
                  <c:v>0.12857142857142853</c:v>
                </c:pt>
                <c:pt idx="9">
                  <c:v>0.11999999999999995</c:v>
                </c:pt>
                <c:pt idx="10">
                  <c:v>0.11249999999999998</c:v>
                </c:pt>
                <c:pt idx="11">
                  <c:v>0.10588235294117643</c:v>
                </c:pt>
                <c:pt idx="12">
                  <c:v>9.9999999999999964E-2</c:v>
                </c:pt>
                <c:pt idx="13">
                  <c:v>9.4736842105263119E-2</c:v>
                </c:pt>
                <c:pt idx="14">
                  <c:v>8.9999999999999955E-2</c:v>
                </c:pt>
                <c:pt idx="15">
                  <c:v>8.5714285714285673E-2</c:v>
                </c:pt>
                <c:pt idx="16">
                  <c:v>8.1818181818181776E-2</c:v>
                </c:pt>
                <c:pt idx="17">
                  <c:v>7.8260869565217342E-2</c:v>
                </c:pt>
                <c:pt idx="18">
                  <c:v>7.4999999999999956E-2</c:v>
                </c:pt>
                <c:pt idx="19">
                  <c:v>7.1999999999999953E-2</c:v>
                </c:pt>
                <c:pt idx="20">
                  <c:v>6.9230769230769193E-2</c:v>
                </c:pt>
                <c:pt idx="21">
                  <c:v>6.6666666666666624E-2</c:v>
                </c:pt>
                <c:pt idx="22">
                  <c:v>6.4285714285714238E-2</c:v>
                </c:pt>
                <c:pt idx="23">
                  <c:v>6.2068965517241337E-2</c:v>
                </c:pt>
                <c:pt idx="24">
                  <c:v>5.9999999999999963E-2</c:v>
                </c:pt>
                <c:pt idx="25">
                  <c:v>5.8064516129032219E-2</c:v>
                </c:pt>
                <c:pt idx="26">
                  <c:v>5.6249999999999967E-2</c:v>
                </c:pt>
                <c:pt idx="27">
                  <c:v>5.4545454545454508E-2</c:v>
                </c:pt>
                <c:pt idx="28">
                  <c:v>5.2941176470588193E-2</c:v>
                </c:pt>
                <c:pt idx="29">
                  <c:v>5.1428571428571386E-2</c:v>
                </c:pt>
                <c:pt idx="30">
                  <c:v>4.9999999999999961E-2</c:v>
                </c:pt>
                <c:pt idx="31">
                  <c:v>4.8648648648648617E-2</c:v>
                </c:pt>
                <c:pt idx="32">
                  <c:v>4.7368421052631539E-2</c:v>
                </c:pt>
                <c:pt idx="33">
                  <c:v>4.6153846153846122E-2</c:v>
                </c:pt>
                <c:pt idx="34">
                  <c:v>4.4999999999999964E-2</c:v>
                </c:pt>
                <c:pt idx="35">
                  <c:v>4.390243902439022E-2</c:v>
                </c:pt>
                <c:pt idx="36">
                  <c:v>4.2857142857142837E-2</c:v>
                </c:pt>
                <c:pt idx="37">
                  <c:v>4.1860465116279048E-2</c:v>
                </c:pt>
                <c:pt idx="38">
                  <c:v>4.0909090909090902E-2</c:v>
                </c:pt>
                <c:pt idx="39">
                  <c:v>3.9999999999999987E-2</c:v>
                </c:pt>
                <c:pt idx="40">
                  <c:v>3.9130434782608685E-2</c:v>
                </c:pt>
                <c:pt idx="41">
                  <c:v>3.8297872340425525E-2</c:v>
                </c:pt>
                <c:pt idx="42">
                  <c:v>3.7499999999999999E-2</c:v>
                </c:pt>
                <c:pt idx="43">
                  <c:v>3.6734693877551024E-2</c:v>
                </c:pt>
                <c:pt idx="44">
                  <c:v>3.6000000000000004E-2</c:v>
                </c:pt>
              </c:numCache>
            </c:numRef>
          </c:yVal>
          <c:smooth val="1"/>
        </c:ser>
        <c:axId val="98077312"/>
        <c:axId val="98083584"/>
      </c:scatterChart>
      <c:valAx>
        <c:axId val="98077312"/>
        <c:scaling>
          <c:orientation val="minMax"/>
          <c:max val="2.5"/>
        </c:scaling>
        <c:axPos val="b"/>
        <c:title>
          <c:tx>
            <c:rich>
              <a:bodyPr/>
              <a:lstStyle/>
              <a:p>
                <a:pPr>
                  <a:defRPr sz="1000" b="1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000" baseline="0"/>
                  <a:t>PERIODO T (seg)</a:t>
                </a:r>
              </a:p>
            </c:rich>
          </c:tx>
          <c:layout>
            <c:manualLayout>
              <c:xMode val="edge"/>
              <c:yMode val="edge"/>
              <c:x val="0.44289693593314783"/>
              <c:y val="0.9173553719008265"/>
            </c:manualLayout>
          </c:layout>
          <c:spPr>
            <a:noFill/>
            <a:ln w="25400">
              <a:noFill/>
            </a:ln>
          </c:spPr>
        </c:title>
        <c:numFmt formatCode="0.00" sourceLinked="0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600" b="0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98083584"/>
        <c:crosses val="autoZero"/>
        <c:crossBetween val="midCat"/>
      </c:valAx>
      <c:valAx>
        <c:axId val="9808358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000" baseline="0"/>
                  <a:t>Sa(x,y) = ZUCS/R</a:t>
                </a:r>
              </a:p>
            </c:rich>
          </c:tx>
          <c:layout>
            <c:manualLayout>
              <c:xMode val="edge"/>
              <c:yMode val="edge"/>
              <c:x val="2.5217471610586406E-2"/>
              <c:y val="0.31108338843507455"/>
            </c:manualLayout>
          </c:layout>
          <c:spPr>
            <a:noFill/>
            <a:ln w="25400">
              <a:noFill/>
            </a:ln>
          </c:spPr>
        </c:title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98077312"/>
        <c:crosses val="autoZero"/>
        <c:crossBetween val="midCat"/>
      </c:valAx>
      <c:spPr>
        <a:blipFill dpi="0" rotWithShape="0">
          <a:blip xmlns:r="http://schemas.openxmlformats.org/officeDocument/2006/relationships" r:embed="rId1"/>
          <a:srcRect/>
          <a:tile tx="0" ty="0" sx="100000" sy="100000" flip="none" algn="tl"/>
        </a:blip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194691995850909"/>
          <c:y val="0.28283753280839885"/>
          <c:w val="0.13172263313801202"/>
          <c:h val="0.18025721784776913"/>
        </c:manualLayout>
      </c:layout>
      <c:spPr>
        <a:solidFill>
          <a:srgbClr val="FFFFFF"/>
        </a:solidFill>
        <a:ln w="6350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1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s-PE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044" r="0.75000000000000044" t="1" header="0" footer="0"/>
    <c:pageSetup orientation="landscape" horizontalDpi="360" verticalDpi="36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200026</xdr:colOff>
      <xdr:row>24</xdr:row>
      <xdr:rowOff>19051</xdr:rowOff>
    </xdr:from>
    <xdr:to>
      <xdr:col>11</xdr:col>
      <xdr:colOff>381000</xdr:colOff>
      <xdr:row>43</xdr:row>
      <xdr:rowOff>8282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Relationship Id="rId5" Type="http://schemas.openxmlformats.org/officeDocument/2006/relationships/oleObject" Target="../embeddings/oleObject2.bin"/><Relationship Id="rId4" Type="http://schemas.openxmlformats.org/officeDocument/2006/relationships/oleObject" Target="../embeddings/oleObject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R54"/>
  <sheetViews>
    <sheetView view="pageBreakPreview" zoomScaleSheetLayoutView="100" workbookViewId="0">
      <selection activeCell="I31" sqref="I31"/>
    </sheetView>
  </sheetViews>
  <sheetFormatPr baseColWidth="10" defaultRowHeight="15"/>
  <cols>
    <col min="1" max="1" width="4" style="46" customWidth="1"/>
    <col min="2" max="2" width="9.42578125" style="46" customWidth="1"/>
    <col min="3" max="3" width="9.5703125" style="46" customWidth="1"/>
    <col min="4" max="4" width="8.140625" style="46" customWidth="1"/>
    <col min="5" max="5" width="11.7109375" style="46" customWidth="1"/>
    <col min="6" max="6" width="10.28515625" style="46" customWidth="1"/>
    <col min="7" max="7" width="10.85546875" style="46" customWidth="1"/>
    <col min="8" max="8" width="9.28515625" style="46" customWidth="1"/>
    <col min="9" max="9" width="8.7109375" style="46" customWidth="1"/>
    <col min="10" max="10" width="9.28515625" style="46" customWidth="1"/>
    <col min="11" max="11" width="9.140625" style="46" customWidth="1"/>
    <col min="12" max="12" width="15.7109375" style="46" customWidth="1"/>
    <col min="13" max="13" width="10.28515625" style="75" customWidth="1"/>
    <col min="14" max="14" width="7.28515625" style="75" customWidth="1"/>
    <col min="15" max="15" width="4" style="46" bestFit="1" customWidth="1"/>
    <col min="16" max="16" width="7.42578125" style="46" bestFit="1" customWidth="1"/>
    <col min="17" max="17" width="11.42578125" style="47"/>
    <col min="18" max="16384" width="11.42578125" style="48"/>
  </cols>
  <sheetData>
    <row r="1" spans="1:18" ht="18" customHeight="1"/>
    <row r="2" spans="1:18" ht="19.5" customHeight="1">
      <c r="A2" s="222" t="s">
        <v>181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45"/>
      <c r="P2" s="45"/>
    </row>
    <row r="3" spans="1:18">
      <c r="A3" s="223" t="s">
        <v>92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50"/>
      <c r="P3" s="50"/>
    </row>
    <row r="4" spans="1:18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74"/>
      <c r="N4" s="74"/>
      <c r="O4" s="50"/>
      <c r="P4" s="50"/>
    </row>
    <row r="5" spans="1:18">
      <c r="A5" s="51" t="s">
        <v>88</v>
      </c>
      <c r="B5" s="51"/>
      <c r="J5" s="69">
        <v>5</v>
      </c>
      <c r="K5" s="52" t="s">
        <v>89</v>
      </c>
    </row>
    <row r="6" spans="1:18">
      <c r="A6" s="51"/>
      <c r="B6" s="51"/>
      <c r="J6" s="52"/>
    </row>
    <row r="7" spans="1:18">
      <c r="A7" s="51" t="s">
        <v>6</v>
      </c>
      <c r="B7" s="51"/>
      <c r="J7" s="52"/>
    </row>
    <row r="8" spans="1:18">
      <c r="A8" s="51"/>
      <c r="B8" s="51"/>
      <c r="J8" s="52"/>
    </row>
    <row r="9" spans="1:18">
      <c r="A9" s="46" t="s">
        <v>107</v>
      </c>
      <c r="C9" s="52" t="s">
        <v>108</v>
      </c>
      <c r="D9" s="79">
        <v>5</v>
      </c>
      <c r="E9" s="82">
        <f>100*D9/25</f>
        <v>20</v>
      </c>
      <c r="F9" s="52" t="s">
        <v>109</v>
      </c>
      <c r="G9" s="78">
        <f>IF(E9&lt;=17,17,IF(E9&lt;=20,20,IF(E9&lt;=25,25,IF(E9&lt;=30,30,IF(E9&lt;=35,35,"Verificar")))))</f>
        <v>20</v>
      </c>
      <c r="J9" s="78">
        <f>IF(G9=17,280,IF(G9=20,300,IF(G9=25,350,IF(G9=30,420,IF(G9=35,475,"Verificar")))))</f>
        <v>300</v>
      </c>
      <c r="K9" s="52" t="s">
        <v>3</v>
      </c>
      <c r="L9" s="77"/>
    </row>
    <row r="10" spans="1:18">
      <c r="A10" s="46" t="s">
        <v>4</v>
      </c>
      <c r="C10" s="52" t="s">
        <v>106</v>
      </c>
      <c r="D10" s="79" t="s">
        <v>105</v>
      </c>
      <c r="E10" s="52" t="s">
        <v>103</v>
      </c>
      <c r="F10" s="67">
        <v>15</v>
      </c>
      <c r="G10" s="52" t="s">
        <v>104</v>
      </c>
      <c r="H10" s="67">
        <v>2.6</v>
      </c>
      <c r="I10" s="81">
        <f>IF(D10="SOLIDO",19*F10*H10,14*F10*H10)</f>
        <v>741</v>
      </c>
      <c r="J10" s="78">
        <f>IF(I10&gt;850,390,IF(I10&gt;700,330,IF(I10&gt;550,270,IF(I10&gt;400,210,IF(I10&gt;250,150,IF(I10&gt;75,60,IF(I10&gt;0,30,0)))))))</f>
        <v>330</v>
      </c>
      <c r="K10" s="52" t="s">
        <v>3</v>
      </c>
    </row>
    <row r="11" spans="1:18">
      <c r="A11" s="46" t="s">
        <v>5</v>
      </c>
      <c r="E11" s="54"/>
      <c r="J11" s="67">
        <v>100</v>
      </c>
      <c r="K11" s="52" t="s">
        <v>3</v>
      </c>
    </row>
    <row r="12" spans="1:18">
      <c r="A12" s="46" t="s">
        <v>80</v>
      </c>
      <c r="J12" s="67">
        <v>100</v>
      </c>
      <c r="K12" s="52" t="s">
        <v>3</v>
      </c>
    </row>
    <row r="13" spans="1:18" s="47" customFormat="1">
      <c r="A13" s="46" t="s">
        <v>81</v>
      </c>
      <c r="B13" s="46"/>
      <c r="C13" s="46"/>
      <c r="D13" s="46"/>
      <c r="E13" s="46"/>
      <c r="F13" s="46"/>
      <c r="G13" s="46"/>
      <c r="H13" s="46"/>
      <c r="J13" s="67">
        <v>60</v>
      </c>
      <c r="K13" s="52" t="s">
        <v>3</v>
      </c>
      <c r="L13" s="46"/>
      <c r="M13" s="75"/>
      <c r="N13" s="75"/>
      <c r="O13" s="46"/>
      <c r="P13" s="46"/>
      <c r="R13" s="48"/>
    </row>
    <row r="14" spans="1:18" s="47" customFormat="1">
      <c r="A14" s="80" t="s">
        <v>110</v>
      </c>
      <c r="B14" s="46"/>
      <c r="C14" s="46"/>
      <c r="D14" s="46"/>
      <c r="E14" s="46"/>
      <c r="F14" s="46"/>
      <c r="G14" s="46"/>
      <c r="H14" s="46"/>
      <c r="J14" s="53"/>
      <c r="K14" s="52"/>
      <c r="L14" s="46"/>
      <c r="M14" s="75"/>
      <c r="N14" s="75"/>
      <c r="O14" s="46"/>
      <c r="P14" s="46"/>
      <c r="R14" s="48"/>
    </row>
    <row r="15" spans="1:18" s="47" customFormat="1">
      <c r="A15" s="46"/>
      <c r="B15" s="46"/>
      <c r="C15" s="46"/>
      <c r="D15" s="46"/>
      <c r="E15" s="46"/>
      <c r="F15" s="46"/>
      <c r="G15" s="46"/>
      <c r="H15" s="46"/>
      <c r="J15" s="53"/>
      <c r="K15" s="52"/>
      <c r="L15" s="46"/>
      <c r="M15" s="75"/>
      <c r="N15" s="75"/>
      <c r="O15" s="46"/>
      <c r="P15" s="46"/>
      <c r="R15" s="48"/>
    </row>
    <row r="16" spans="1:18" s="47" customFormat="1">
      <c r="A16" s="51" t="s">
        <v>7</v>
      </c>
      <c r="B16" s="51"/>
      <c r="C16" s="46"/>
      <c r="D16" s="46"/>
      <c r="E16" s="55"/>
      <c r="F16" s="55"/>
      <c r="G16" s="56"/>
      <c r="H16" s="46"/>
      <c r="J16" s="57"/>
      <c r="K16" s="55"/>
      <c r="L16" s="46"/>
      <c r="M16" s="75"/>
      <c r="N16" s="75"/>
      <c r="O16" s="46"/>
      <c r="P16" s="46"/>
      <c r="R16" s="48"/>
    </row>
    <row r="17" spans="1:18">
      <c r="A17" s="51"/>
      <c r="B17" s="51"/>
      <c r="E17" s="55" t="s">
        <v>86</v>
      </c>
      <c r="F17" s="55"/>
      <c r="G17" s="56"/>
      <c r="J17" s="57"/>
      <c r="K17" s="55"/>
    </row>
    <row r="18" spans="1:18">
      <c r="A18" s="55" t="s">
        <v>79</v>
      </c>
      <c r="B18" s="55"/>
      <c r="E18" s="55"/>
      <c r="F18" s="55"/>
      <c r="G18" s="58"/>
      <c r="J18" s="68">
        <v>200</v>
      </c>
      <c r="K18" s="60" t="s">
        <v>0</v>
      </c>
    </row>
    <row r="19" spans="1:18">
      <c r="A19" s="55" t="s">
        <v>2</v>
      </c>
      <c r="B19" s="55"/>
      <c r="E19" s="55"/>
      <c r="F19" s="55"/>
      <c r="G19" s="58"/>
      <c r="J19" s="68">
        <v>100</v>
      </c>
      <c r="K19" s="60" t="s">
        <v>0</v>
      </c>
    </row>
    <row r="20" spans="1:18">
      <c r="A20" s="55"/>
      <c r="B20" s="55"/>
      <c r="E20" s="55"/>
      <c r="F20" s="55"/>
      <c r="G20" s="58"/>
      <c r="J20" s="59"/>
      <c r="K20" s="56"/>
    </row>
    <row r="21" spans="1:18">
      <c r="A21" s="51" t="s">
        <v>83</v>
      </c>
      <c r="B21" s="51"/>
      <c r="E21" s="55"/>
      <c r="F21" s="55"/>
      <c r="G21" s="56"/>
      <c r="J21" s="57"/>
      <c r="K21" s="55"/>
    </row>
    <row r="22" spans="1:18">
      <c r="A22" s="51"/>
      <c r="B22" s="51"/>
      <c r="E22" s="55"/>
      <c r="F22" s="55"/>
      <c r="G22" s="56"/>
      <c r="J22" s="57"/>
      <c r="K22" s="55"/>
    </row>
    <row r="23" spans="1:18">
      <c r="A23" s="55" t="s">
        <v>84</v>
      </c>
      <c r="B23" s="55"/>
      <c r="G23" s="58"/>
      <c r="J23" s="70">
        <f>1.5*SUM(J9:J13)+1.8*J18</f>
        <v>1695</v>
      </c>
      <c r="K23" s="60" t="s">
        <v>3</v>
      </c>
    </row>
    <row r="24" spans="1:18">
      <c r="A24" s="55" t="s">
        <v>11</v>
      </c>
      <c r="B24" s="55"/>
      <c r="G24" s="71">
        <v>1</v>
      </c>
      <c r="H24" s="71">
        <f>+J5-1</f>
        <v>4</v>
      </c>
      <c r="J24" s="70">
        <f>+J23*4</f>
        <v>6780</v>
      </c>
      <c r="K24" s="60" t="s">
        <v>3</v>
      </c>
    </row>
    <row r="25" spans="1:18">
      <c r="A25" s="55" t="s">
        <v>96</v>
      </c>
      <c r="B25" s="55"/>
      <c r="G25" s="71"/>
      <c r="H25" s="71">
        <f>+J5</f>
        <v>5</v>
      </c>
      <c r="J25" s="70">
        <f>1.5*SUM(J9:J13)+1.8*J19</f>
        <v>1515</v>
      </c>
      <c r="K25" s="60" t="s">
        <v>3</v>
      </c>
    </row>
    <row r="26" spans="1:18">
      <c r="A26" s="55" t="s">
        <v>97</v>
      </c>
      <c r="B26" s="55"/>
      <c r="H26" s="72">
        <f>+J5</f>
        <v>5</v>
      </c>
      <c r="J26" s="70">
        <f>J24+J25</f>
        <v>8295</v>
      </c>
      <c r="K26" s="60" t="s">
        <v>3</v>
      </c>
    </row>
    <row r="27" spans="1:18">
      <c r="A27" s="55" t="s">
        <v>82</v>
      </c>
      <c r="B27" s="55"/>
      <c r="G27" s="58"/>
      <c r="J27" s="66">
        <v>210</v>
      </c>
      <c r="K27" s="60" t="s">
        <v>13</v>
      </c>
    </row>
    <row r="28" spans="1:18">
      <c r="A28" s="55"/>
      <c r="B28" s="55"/>
      <c r="G28" s="58"/>
      <c r="J28" s="70"/>
      <c r="K28" s="60"/>
    </row>
    <row r="29" spans="1:18" ht="25.5" customHeight="1">
      <c r="A29" s="55"/>
      <c r="B29" s="55"/>
      <c r="C29" s="60"/>
      <c r="D29" s="219" t="s">
        <v>185</v>
      </c>
      <c r="E29" s="220"/>
      <c r="F29" s="220"/>
      <c r="G29" s="220"/>
      <c r="H29" s="220"/>
      <c r="I29" s="220"/>
      <c r="J29" s="220"/>
      <c r="K29" s="220"/>
      <c r="L29" s="220"/>
      <c r="M29" s="215" t="s">
        <v>98</v>
      </c>
      <c r="N29" s="216"/>
    </row>
    <row r="30" spans="1:18" ht="27" customHeight="1">
      <c r="A30" s="219" t="s">
        <v>8</v>
      </c>
      <c r="B30" s="221"/>
      <c r="C30" s="135" t="s">
        <v>9</v>
      </c>
      <c r="D30" s="135" t="s">
        <v>85</v>
      </c>
      <c r="E30" s="135" t="s">
        <v>12</v>
      </c>
      <c r="F30" s="135" t="s">
        <v>10</v>
      </c>
      <c r="G30" s="135" t="s">
        <v>69</v>
      </c>
      <c r="H30" s="135" t="s">
        <v>90</v>
      </c>
      <c r="I30" s="135" t="s">
        <v>177</v>
      </c>
      <c r="J30" s="135" t="s">
        <v>176</v>
      </c>
      <c r="K30" s="135" t="s">
        <v>69</v>
      </c>
      <c r="L30" s="107" t="s">
        <v>91</v>
      </c>
      <c r="M30" s="217"/>
      <c r="N30" s="218"/>
      <c r="O30" s="56"/>
      <c r="Q30" s="46"/>
      <c r="R30" s="47"/>
    </row>
    <row r="31" spans="1:18" ht="18.75" customHeight="1">
      <c r="A31" s="65">
        <v>1</v>
      </c>
      <c r="B31" s="64" t="s">
        <v>95</v>
      </c>
      <c r="C31" s="62">
        <f>SUM(C35:C54)</f>
        <v>146.93000000000004</v>
      </c>
      <c r="D31" s="63">
        <f>IF(B31="Esquinera",1.5,IF(B31="Lateral",1.25,IF(B31="interior",1.1,"Ubicación")))</f>
        <v>1.1000000000000001</v>
      </c>
      <c r="E31" s="63">
        <f t="shared" ref="E31" si="0">IF($J$5&lt;=4,IF(D31=1.5,0.2,IF(D31=1.25,0.25,0.25)),IF(D31=1.5,0.2,IF(D31=1.25,0.25,0.3)))</f>
        <v>0.3</v>
      </c>
      <c r="F31" s="63">
        <f>$J$26*C31/A54</f>
        <v>60939.217500000013</v>
      </c>
      <c r="G31" s="63">
        <f t="shared" ref="G31" si="1">D31*F31/(E31*$J$27)</f>
        <v>1064.0180833333336</v>
      </c>
      <c r="H31" s="63">
        <f>SQRT(G31)</f>
        <v>32.619290049498836</v>
      </c>
      <c r="I31" s="134">
        <v>25</v>
      </c>
      <c r="J31" s="134">
        <f>IF(H31&lt;25,25,IF(G31/I31&lt;25,25,(INT(((ROUND((G31/I31),0)+5)/5))*5)))</f>
        <v>45</v>
      </c>
      <c r="K31" s="63">
        <f>+I31*J31</f>
        <v>1125</v>
      </c>
      <c r="L31" s="76" t="str">
        <f t="shared" ref="L31" si="2">IF(J31*I31&lt;G31,"VERIFICAR",IF(I31/J31&lt;0.4,"REDIMENSIONAR","OK !!!"))</f>
        <v>OK !!!</v>
      </c>
      <c r="M31" s="131" t="str">
        <f>CONCATENATE(I31,"x",J31)</f>
        <v>25x45</v>
      </c>
      <c r="N31" s="136" t="s">
        <v>87</v>
      </c>
      <c r="O31" s="56"/>
      <c r="Q31" s="46"/>
      <c r="R31" s="47"/>
    </row>
    <row r="32" spans="1:18">
      <c r="A32" s="55"/>
      <c r="B32" s="55"/>
      <c r="G32" s="58"/>
      <c r="H32" s="61"/>
      <c r="I32" s="60"/>
      <c r="J32" s="56"/>
    </row>
    <row r="33" spans="1:18" ht="25.5" customHeight="1">
      <c r="A33" s="55"/>
      <c r="B33" s="55"/>
      <c r="C33" s="60"/>
      <c r="D33" s="219" t="s">
        <v>102</v>
      </c>
      <c r="E33" s="220"/>
      <c r="F33" s="220"/>
      <c r="G33" s="220"/>
      <c r="H33" s="220"/>
      <c r="I33" s="220"/>
      <c r="J33" s="220"/>
      <c r="K33" s="220"/>
      <c r="L33" s="220"/>
      <c r="M33" s="215" t="s">
        <v>98</v>
      </c>
      <c r="N33" s="216"/>
    </row>
    <row r="34" spans="1:18" ht="27" customHeight="1">
      <c r="A34" s="219" t="s">
        <v>8</v>
      </c>
      <c r="B34" s="221"/>
      <c r="C34" s="40" t="s">
        <v>9</v>
      </c>
      <c r="D34" s="40" t="s">
        <v>85</v>
      </c>
      <c r="E34" s="40" t="s">
        <v>12</v>
      </c>
      <c r="F34" s="40" t="s">
        <v>10</v>
      </c>
      <c r="G34" s="40" t="s">
        <v>69</v>
      </c>
      <c r="H34" s="40" t="s">
        <v>90</v>
      </c>
      <c r="I34" s="40" t="s">
        <v>177</v>
      </c>
      <c r="J34" s="40" t="s">
        <v>176</v>
      </c>
      <c r="K34" s="40" t="s">
        <v>69</v>
      </c>
      <c r="L34" s="73" t="s">
        <v>91</v>
      </c>
      <c r="M34" s="217"/>
      <c r="N34" s="218"/>
      <c r="O34" s="56"/>
      <c r="Q34" s="46"/>
      <c r="R34" s="47"/>
    </row>
    <row r="35" spans="1:18" ht="18.75" customHeight="1">
      <c r="A35" s="65">
        <v>1</v>
      </c>
      <c r="B35" s="64" t="s">
        <v>93</v>
      </c>
      <c r="C35" s="62">
        <v>2.14</v>
      </c>
      <c r="D35" s="63">
        <f>IF(B35="Esquinera",1.5,IF(B35="Lateral",1.25,IF(B35="interior",1.1,"Ubicación")))</f>
        <v>1.5</v>
      </c>
      <c r="E35" s="63">
        <f t="shared" ref="E35:E54" si="3">IF($J$5&lt;=4,IF(D35=1.5,0.2,IF(D35=1.25,0.25,0.25)),IF(D35=1.5,0.2,IF(D35=1.25,0.25,0.3)))</f>
        <v>0.2</v>
      </c>
      <c r="F35" s="63">
        <f t="shared" ref="F35:F54" si="4">$J$26*C35</f>
        <v>17751.3</v>
      </c>
      <c r="G35" s="63">
        <f t="shared" ref="G35:G54" si="5">D35*F35/(E35*$J$27)</f>
        <v>633.97499999999991</v>
      </c>
      <c r="H35" s="63">
        <f>SQRT(G35)</f>
        <v>25.178860180715091</v>
      </c>
      <c r="I35" s="134">
        <v>25</v>
      </c>
      <c r="J35" s="134">
        <f>IF(H35&lt;25,25,IF(G35/I35&lt;25,25,(INT(((ROUND((G35/I35),0)+5)/5))*5)))</f>
        <v>30</v>
      </c>
      <c r="K35" s="63">
        <f>+I35*J35</f>
        <v>750</v>
      </c>
      <c r="L35" s="76" t="str">
        <f t="shared" ref="L35:L43" si="6">IF(J35*I35&lt;G35,"VERIFICAR",IF(I35/J35&lt;0.4,"REDIMENSIONAR","OK !!!"))</f>
        <v>OK !!!</v>
      </c>
      <c r="M35" s="132" t="str">
        <f>CONCATENATE(I35,"x",J35)</f>
        <v>25x30</v>
      </c>
      <c r="N35" s="136" t="s">
        <v>87</v>
      </c>
      <c r="O35" s="56"/>
      <c r="Q35" s="46"/>
      <c r="R35" s="47"/>
    </row>
    <row r="36" spans="1:18" ht="18.75" customHeight="1">
      <c r="A36" s="65">
        <f>1+A35</f>
        <v>2</v>
      </c>
      <c r="B36" s="64" t="s">
        <v>94</v>
      </c>
      <c r="C36" s="62">
        <v>3.76</v>
      </c>
      <c r="D36" s="63">
        <f t="shared" ref="D36:D54" si="7">IF(B36="Esquinera",1.5,IF(B36="Lateral",1.25,IF(B36="interior",1.1,"Ubicación")))</f>
        <v>1.25</v>
      </c>
      <c r="E36" s="63">
        <f t="shared" si="3"/>
        <v>0.25</v>
      </c>
      <c r="F36" s="63">
        <f t="shared" si="4"/>
        <v>31189.199999999997</v>
      </c>
      <c r="G36" s="63">
        <f t="shared" si="5"/>
        <v>742.6</v>
      </c>
      <c r="H36" s="63">
        <f t="shared" ref="H36:H54" si="8">SQRT(G36)</f>
        <v>27.250688064707649</v>
      </c>
      <c r="I36" s="134">
        <f>+$I$35</f>
        <v>25</v>
      </c>
      <c r="J36" s="134">
        <f t="shared" ref="J36:J54" si="9">IF(H36&lt;25,25,IF(G36/I36&lt;25,25,(INT(((ROUND((G36/I36),0)+5)/5))*5)))</f>
        <v>35</v>
      </c>
      <c r="K36" s="63">
        <f t="shared" ref="K36:K54" si="10">+I36*J36</f>
        <v>875</v>
      </c>
      <c r="L36" s="76" t="str">
        <f t="shared" si="6"/>
        <v>OK !!!</v>
      </c>
      <c r="M36" s="130" t="str">
        <f t="shared" ref="M36:M54" si="11">CONCATENATE(I36,"x",J36)</f>
        <v>25x35</v>
      </c>
      <c r="N36" s="136" t="s">
        <v>87</v>
      </c>
      <c r="O36" s="56"/>
      <c r="Q36" s="46"/>
      <c r="R36" s="47"/>
    </row>
    <row r="37" spans="1:18" ht="18.75" customHeight="1">
      <c r="A37" s="65">
        <f t="shared" ref="A37:A54" si="12">1+A36</f>
        <v>3</v>
      </c>
      <c r="B37" s="64" t="s">
        <v>94</v>
      </c>
      <c r="C37" s="62">
        <v>3.42</v>
      </c>
      <c r="D37" s="63">
        <f t="shared" si="7"/>
        <v>1.25</v>
      </c>
      <c r="E37" s="63">
        <f t="shared" si="3"/>
        <v>0.25</v>
      </c>
      <c r="F37" s="63">
        <f t="shared" si="4"/>
        <v>28368.899999999998</v>
      </c>
      <c r="G37" s="63">
        <f t="shared" si="5"/>
        <v>675.45</v>
      </c>
      <c r="H37" s="63">
        <f t="shared" si="8"/>
        <v>25.989420924676256</v>
      </c>
      <c r="I37" s="134">
        <f t="shared" ref="I37:I54" si="13">+$I$35</f>
        <v>25</v>
      </c>
      <c r="J37" s="134">
        <f t="shared" si="9"/>
        <v>30</v>
      </c>
      <c r="K37" s="63">
        <f t="shared" si="10"/>
        <v>750</v>
      </c>
      <c r="L37" s="76" t="str">
        <f t="shared" si="6"/>
        <v>OK !!!</v>
      </c>
      <c r="M37" s="130" t="str">
        <f t="shared" si="11"/>
        <v>25x30</v>
      </c>
      <c r="N37" s="136" t="s">
        <v>87</v>
      </c>
      <c r="O37" s="56"/>
      <c r="Q37" s="46"/>
      <c r="R37" s="47"/>
    </row>
    <row r="38" spans="1:18" ht="18.75" customHeight="1">
      <c r="A38" s="65">
        <f t="shared" si="12"/>
        <v>4</v>
      </c>
      <c r="B38" s="64" t="s">
        <v>94</v>
      </c>
      <c r="C38" s="62">
        <v>5.4</v>
      </c>
      <c r="D38" s="63">
        <f t="shared" si="7"/>
        <v>1.25</v>
      </c>
      <c r="E38" s="63">
        <f t="shared" si="3"/>
        <v>0.25</v>
      </c>
      <c r="F38" s="63">
        <f t="shared" si="4"/>
        <v>44793</v>
      </c>
      <c r="G38" s="63">
        <f t="shared" si="5"/>
        <v>1066.5</v>
      </c>
      <c r="H38" s="63">
        <f t="shared" si="8"/>
        <v>32.657311585615865</v>
      </c>
      <c r="I38" s="134">
        <f t="shared" si="13"/>
        <v>25</v>
      </c>
      <c r="J38" s="134">
        <f t="shared" si="9"/>
        <v>45</v>
      </c>
      <c r="K38" s="63">
        <f t="shared" si="10"/>
        <v>1125</v>
      </c>
      <c r="L38" s="76" t="str">
        <f t="shared" si="6"/>
        <v>OK !!!</v>
      </c>
      <c r="M38" s="130" t="str">
        <f t="shared" si="11"/>
        <v>25x45</v>
      </c>
      <c r="N38" s="136" t="s">
        <v>99</v>
      </c>
      <c r="O38" s="56"/>
      <c r="Q38" s="46"/>
      <c r="R38" s="47"/>
    </row>
    <row r="39" spans="1:18" ht="18.75" customHeight="1">
      <c r="A39" s="65">
        <f t="shared" si="12"/>
        <v>5</v>
      </c>
      <c r="B39" s="64" t="s">
        <v>94</v>
      </c>
      <c r="C39" s="62">
        <v>4.75</v>
      </c>
      <c r="D39" s="63">
        <f t="shared" si="7"/>
        <v>1.25</v>
      </c>
      <c r="E39" s="63">
        <f t="shared" si="3"/>
        <v>0.25</v>
      </c>
      <c r="F39" s="63">
        <f t="shared" si="4"/>
        <v>39401.25</v>
      </c>
      <c r="G39" s="63">
        <f t="shared" si="5"/>
        <v>938.125</v>
      </c>
      <c r="H39" s="63">
        <f t="shared" si="8"/>
        <v>30.628826291583554</v>
      </c>
      <c r="I39" s="134">
        <f t="shared" si="13"/>
        <v>25</v>
      </c>
      <c r="J39" s="134">
        <f t="shared" si="9"/>
        <v>40</v>
      </c>
      <c r="K39" s="63">
        <f t="shared" si="10"/>
        <v>1000</v>
      </c>
      <c r="L39" s="76" t="str">
        <f t="shared" si="6"/>
        <v>OK !!!</v>
      </c>
      <c r="M39" s="130" t="str">
        <f t="shared" si="11"/>
        <v>25x40</v>
      </c>
      <c r="N39" s="136" t="s">
        <v>87</v>
      </c>
      <c r="O39" s="56"/>
      <c r="Q39" s="46"/>
      <c r="R39" s="47"/>
    </row>
    <row r="40" spans="1:18" ht="18.75" customHeight="1">
      <c r="A40" s="65">
        <f t="shared" si="12"/>
        <v>6</v>
      </c>
      <c r="B40" s="64" t="s">
        <v>93</v>
      </c>
      <c r="C40" s="62">
        <v>2.85</v>
      </c>
      <c r="D40" s="63">
        <f t="shared" si="7"/>
        <v>1.5</v>
      </c>
      <c r="E40" s="63">
        <f t="shared" si="3"/>
        <v>0.2</v>
      </c>
      <c r="F40" s="63">
        <f t="shared" si="4"/>
        <v>23640.75</v>
      </c>
      <c r="G40" s="63">
        <f t="shared" si="5"/>
        <v>844.3125</v>
      </c>
      <c r="H40" s="63">
        <f t="shared" si="8"/>
        <v>29.057055941715774</v>
      </c>
      <c r="I40" s="134">
        <f t="shared" si="13"/>
        <v>25</v>
      </c>
      <c r="J40" s="134">
        <f t="shared" si="9"/>
        <v>35</v>
      </c>
      <c r="K40" s="63">
        <f t="shared" si="10"/>
        <v>875</v>
      </c>
      <c r="L40" s="76" t="str">
        <f t="shared" si="6"/>
        <v>OK !!!</v>
      </c>
      <c r="M40" s="130" t="str">
        <f t="shared" si="11"/>
        <v>25x35</v>
      </c>
      <c r="N40" s="136" t="s">
        <v>87</v>
      </c>
      <c r="O40" s="56"/>
      <c r="Q40" s="46"/>
      <c r="R40" s="47"/>
    </row>
    <row r="41" spans="1:18" ht="18.75" customHeight="1">
      <c r="A41" s="65">
        <f t="shared" si="12"/>
        <v>7</v>
      </c>
      <c r="B41" s="64" t="s">
        <v>95</v>
      </c>
      <c r="C41" s="62">
        <v>5.23</v>
      </c>
      <c r="D41" s="63">
        <f t="shared" si="7"/>
        <v>1.1000000000000001</v>
      </c>
      <c r="E41" s="63">
        <f t="shared" si="3"/>
        <v>0.3</v>
      </c>
      <c r="F41" s="63">
        <f t="shared" si="4"/>
        <v>43382.850000000006</v>
      </c>
      <c r="G41" s="63">
        <f t="shared" si="5"/>
        <v>757.47833333333347</v>
      </c>
      <c r="H41" s="63">
        <f t="shared" si="8"/>
        <v>27.522324272003871</v>
      </c>
      <c r="I41" s="134">
        <f t="shared" si="13"/>
        <v>25</v>
      </c>
      <c r="J41" s="134">
        <f t="shared" si="9"/>
        <v>35</v>
      </c>
      <c r="K41" s="63">
        <f t="shared" si="10"/>
        <v>875</v>
      </c>
      <c r="L41" s="76" t="str">
        <f t="shared" si="6"/>
        <v>OK !!!</v>
      </c>
      <c r="M41" s="130" t="str">
        <f t="shared" si="11"/>
        <v>25x35</v>
      </c>
      <c r="N41" s="136" t="s">
        <v>87</v>
      </c>
      <c r="O41" s="56"/>
      <c r="Q41" s="46"/>
      <c r="R41" s="47"/>
    </row>
    <row r="42" spans="1:18" ht="18.75" customHeight="1">
      <c r="A42" s="65">
        <f t="shared" si="12"/>
        <v>8</v>
      </c>
      <c r="B42" s="64" t="s">
        <v>95</v>
      </c>
      <c r="C42" s="62">
        <v>18.149999999999999</v>
      </c>
      <c r="D42" s="63">
        <f t="shared" si="7"/>
        <v>1.1000000000000001</v>
      </c>
      <c r="E42" s="63">
        <f t="shared" si="3"/>
        <v>0.3</v>
      </c>
      <c r="F42" s="63">
        <f t="shared" si="4"/>
        <v>150554.25</v>
      </c>
      <c r="G42" s="63">
        <f t="shared" si="5"/>
        <v>2628.7250000000004</v>
      </c>
      <c r="H42" s="63">
        <f t="shared" si="8"/>
        <v>51.271093220254244</v>
      </c>
      <c r="I42" s="134">
        <v>35</v>
      </c>
      <c r="J42" s="134">
        <f t="shared" si="9"/>
        <v>80</v>
      </c>
      <c r="K42" s="63">
        <f t="shared" si="10"/>
        <v>2800</v>
      </c>
      <c r="L42" s="76" t="str">
        <f t="shared" si="6"/>
        <v>OK !!!</v>
      </c>
      <c r="M42" s="130" t="str">
        <f t="shared" si="11"/>
        <v>35x80</v>
      </c>
      <c r="N42" s="136" t="s">
        <v>100</v>
      </c>
      <c r="O42" s="56"/>
      <c r="Q42" s="46"/>
      <c r="R42" s="47"/>
    </row>
    <row r="43" spans="1:18" ht="18.75" customHeight="1">
      <c r="A43" s="65">
        <f t="shared" si="12"/>
        <v>9</v>
      </c>
      <c r="B43" s="64" t="s">
        <v>95</v>
      </c>
      <c r="C43" s="62">
        <v>7.31</v>
      </c>
      <c r="D43" s="63">
        <f t="shared" si="7"/>
        <v>1.1000000000000001</v>
      </c>
      <c r="E43" s="63">
        <f t="shared" si="3"/>
        <v>0.3</v>
      </c>
      <c r="F43" s="63">
        <f t="shared" si="4"/>
        <v>60636.45</v>
      </c>
      <c r="G43" s="63">
        <f t="shared" si="5"/>
        <v>1058.7316666666668</v>
      </c>
      <c r="H43" s="63">
        <f t="shared" si="8"/>
        <v>32.538157087743414</v>
      </c>
      <c r="I43" s="134">
        <f t="shared" si="13"/>
        <v>25</v>
      </c>
      <c r="J43" s="134">
        <f t="shared" si="9"/>
        <v>45</v>
      </c>
      <c r="K43" s="63">
        <f t="shared" si="10"/>
        <v>1125</v>
      </c>
      <c r="L43" s="76" t="str">
        <f t="shared" si="6"/>
        <v>OK !!!</v>
      </c>
      <c r="M43" s="130" t="str">
        <f t="shared" si="11"/>
        <v>25x45</v>
      </c>
      <c r="N43" s="136" t="s">
        <v>99</v>
      </c>
      <c r="O43" s="56"/>
      <c r="Q43" s="46"/>
      <c r="R43" s="47"/>
    </row>
    <row r="44" spans="1:18" ht="18.75" customHeight="1">
      <c r="A44" s="65">
        <f t="shared" si="12"/>
        <v>10</v>
      </c>
      <c r="B44" s="64" t="s">
        <v>95</v>
      </c>
      <c r="C44" s="62">
        <v>9.41</v>
      </c>
      <c r="D44" s="63">
        <f t="shared" si="7"/>
        <v>1.1000000000000001</v>
      </c>
      <c r="E44" s="63">
        <f t="shared" si="3"/>
        <v>0.3</v>
      </c>
      <c r="F44" s="63">
        <f t="shared" si="4"/>
        <v>78055.95</v>
      </c>
      <c r="G44" s="63">
        <f t="shared" si="5"/>
        <v>1362.8816666666667</v>
      </c>
      <c r="H44" s="63">
        <f t="shared" si="8"/>
        <v>36.917227234269191</v>
      </c>
      <c r="I44" s="134">
        <f t="shared" si="13"/>
        <v>25</v>
      </c>
      <c r="J44" s="134">
        <f t="shared" si="9"/>
        <v>60</v>
      </c>
      <c r="K44" s="63">
        <f t="shared" si="10"/>
        <v>1500</v>
      </c>
      <c r="L44" s="76" t="str">
        <f>IF(J44*I44&lt;G44,"VERIFICAR",IF(I44/J44&lt;0.4,"REDIMENSIONAR","OK !!!"))</f>
        <v>OK !!!</v>
      </c>
      <c r="M44" s="130" t="str">
        <f t="shared" si="11"/>
        <v>25x60</v>
      </c>
      <c r="N44" s="136" t="s">
        <v>101</v>
      </c>
      <c r="O44" s="56"/>
      <c r="Q44" s="46"/>
      <c r="R44" s="47"/>
    </row>
    <row r="45" spans="1:18" ht="18.75" customHeight="1">
      <c r="A45" s="65">
        <f t="shared" si="12"/>
        <v>11</v>
      </c>
      <c r="B45" s="64" t="s">
        <v>95</v>
      </c>
      <c r="C45" s="62">
        <v>12.83</v>
      </c>
      <c r="D45" s="63">
        <f t="shared" si="7"/>
        <v>1.1000000000000001</v>
      </c>
      <c r="E45" s="63">
        <f t="shared" si="3"/>
        <v>0.3</v>
      </c>
      <c r="F45" s="63">
        <f t="shared" si="4"/>
        <v>106424.85</v>
      </c>
      <c r="G45" s="63">
        <f t="shared" si="5"/>
        <v>1858.211666666667</v>
      </c>
      <c r="H45" s="63">
        <f t="shared" si="8"/>
        <v>43.106979326631865</v>
      </c>
      <c r="I45" s="134">
        <v>30</v>
      </c>
      <c r="J45" s="134">
        <f t="shared" si="9"/>
        <v>65</v>
      </c>
      <c r="K45" s="63">
        <f t="shared" si="10"/>
        <v>1950</v>
      </c>
      <c r="L45" s="76" t="str">
        <f t="shared" ref="L45:L54" si="14">IF(J45*I45&lt;G45,"VERIFICAR",IF(I45/J45&lt;0.4,"REDIMENSIONAR","OK !!!"))</f>
        <v>OK !!!</v>
      </c>
      <c r="M45" s="130" t="str">
        <f t="shared" si="11"/>
        <v>30x65</v>
      </c>
      <c r="N45" s="136" t="s">
        <v>178</v>
      </c>
      <c r="O45" s="56"/>
      <c r="Q45" s="46"/>
      <c r="R45" s="47"/>
    </row>
    <row r="46" spans="1:18" ht="18.75" customHeight="1">
      <c r="A46" s="65">
        <f t="shared" si="12"/>
        <v>12</v>
      </c>
      <c r="B46" s="64" t="s">
        <v>95</v>
      </c>
      <c r="C46" s="62">
        <v>11.77</v>
      </c>
      <c r="D46" s="63">
        <f t="shared" si="7"/>
        <v>1.1000000000000001</v>
      </c>
      <c r="E46" s="63">
        <f t="shared" si="3"/>
        <v>0.3</v>
      </c>
      <c r="F46" s="63">
        <f t="shared" si="4"/>
        <v>97632.15</v>
      </c>
      <c r="G46" s="63">
        <f t="shared" si="5"/>
        <v>1704.6883333333335</v>
      </c>
      <c r="H46" s="63">
        <f t="shared" si="8"/>
        <v>41.287871504030498</v>
      </c>
      <c r="I46" s="134">
        <v>30</v>
      </c>
      <c r="J46" s="134">
        <f t="shared" si="9"/>
        <v>60</v>
      </c>
      <c r="K46" s="63">
        <f t="shared" si="10"/>
        <v>1800</v>
      </c>
      <c r="L46" s="76" t="str">
        <f t="shared" si="14"/>
        <v>OK !!!</v>
      </c>
      <c r="M46" s="130" t="str">
        <f t="shared" si="11"/>
        <v>30x60</v>
      </c>
      <c r="N46" s="136" t="s">
        <v>179</v>
      </c>
      <c r="O46" s="56"/>
      <c r="Q46" s="46"/>
      <c r="R46" s="47"/>
    </row>
    <row r="47" spans="1:18" ht="18.75" customHeight="1">
      <c r="A47" s="65">
        <f t="shared" si="12"/>
        <v>13</v>
      </c>
      <c r="B47" s="64" t="s">
        <v>95</v>
      </c>
      <c r="C47" s="62">
        <v>10.17</v>
      </c>
      <c r="D47" s="63">
        <f t="shared" si="7"/>
        <v>1.1000000000000001</v>
      </c>
      <c r="E47" s="63">
        <f t="shared" si="3"/>
        <v>0.3</v>
      </c>
      <c r="F47" s="63">
        <f t="shared" si="4"/>
        <v>84360.15</v>
      </c>
      <c r="G47" s="63">
        <f t="shared" si="5"/>
        <v>1472.9550000000002</v>
      </c>
      <c r="H47" s="63">
        <f t="shared" si="8"/>
        <v>38.379095872623161</v>
      </c>
      <c r="I47" s="134">
        <f t="shared" si="13"/>
        <v>25</v>
      </c>
      <c r="J47" s="134">
        <f t="shared" si="9"/>
        <v>60</v>
      </c>
      <c r="K47" s="63">
        <f t="shared" si="10"/>
        <v>1500</v>
      </c>
      <c r="L47" s="76" t="str">
        <f t="shared" si="14"/>
        <v>OK !!!</v>
      </c>
      <c r="M47" s="130" t="str">
        <f t="shared" si="11"/>
        <v>25x60</v>
      </c>
      <c r="N47" s="136" t="s">
        <v>101</v>
      </c>
      <c r="O47" s="56"/>
      <c r="Q47" s="46"/>
      <c r="R47" s="47"/>
    </row>
    <row r="48" spans="1:18" ht="18.75" customHeight="1">
      <c r="A48" s="65">
        <f t="shared" si="12"/>
        <v>14</v>
      </c>
      <c r="B48" s="64" t="s">
        <v>94</v>
      </c>
      <c r="C48" s="62">
        <v>6.01</v>
      </c>
      <c r="D48" s="63">
        <f t="shared" si="7"/>
        <v>1.25</v>
      </c>
      <c r="E48" s="63">
        <f t="shared" si="3"/>
        <v>0.25</v>
      </c>
      <c r="F48" s="63">
        <f t="shared" si="4"/>
        <v>49852.95</v>
      </c>
      <c r="G48" s="63">
        <f t="shared" si="5"/>
        <v>1186.9749999999999</v>
      </c>
      <c r="H48" s="63">
        <f t="shared" si="8"/>
        <v>34.452503537478954</v>
      </c>
      <c r="I48" s="134">
        <f t="shared" si="13"/>
        <v>25</v>
      </c>
      <c r="J48" s="134">
        <f t="shared" si="9"/>
        <v>50</v>
      </c>
      <c r="K48" s="63">
        <f t="shared" si="10"/>
        <v>1250</v>
      </c>
      <c r="L48" s="76" t="str">
        <f t="shared" si="14"/>
        <v>OK !!!</v>
      </c>
      <c r="M48" s="130" t="str">
        <f t="shared" si="11"/>
        <v>25x50</v>
      </c>
      <c r="N48" s="136" t="s">
        <v>180</v>
      </c>
      <c r="O48" s="56"/>
      <c r="Q48" s="46"/>
      <c r="R48" s="47"/>
    </row>
    <row r="49" spans="1:18" ht="18.75" customHeight="1">
      <c r="A49" s="65">
        <f t="shared" si="12"/>
        <v>15</v>
      </c>
      <c r="B49" s="64" t="s">
        <v>93</v>
      </c>
      <c r="C49" s="62">
        <v>6.2</v>
      </c>
      <c r="D49" s="63">
        <f t="shared" si="7"/>
        <v>1.5</v>
      </c>
      <c r="E49" s="63">
        <f t="shared" si="3"/>
        <v>0.2</v>
      </c>
      <c r="F49" s="63">
        <f t="shared" si="4"/>
        <v>51429</v>
      </c>
      <c r="G49" s="63">
        <f t="shared" si="5"/>
        <v>1836.75</v>
      </c>
      <c r="H49" s="63">
        <f t="shared" si="8"/>
        <v>42.857321428199405</v>
      </c>
      <c r="I49" s="134">
        <v>30</v>
      </c>
      <c r="J49" s="134">
        <f t="shared" si="9"/>
        <v>65</v>
      </c>
      <c r="K49" s="63">
        <f t="shared" si="10"/>
        <v>1950</v>
      </c>
      <c r="L49" s="76" t="str">
        <f t="shared" si="14"/>
        <v>OK !!!</v>
      </c>
      <c r="M49" s="130" t="str">
        <f t="shared" si="11"/>
        <v>30x65</v>
      </c>
      <c r="N49" s="136" t="s">
        <v>101</v>
      </c>
      <c r="O49" s="56"/>
      <c r="Q49" s="46"/>
      <c r="R49" s="47"/>
    </row>
    <row r="50" spans="1:18" ht="18.75" customHeight="1">
      <c r="A50" s="65">
        <f t="shared" si="12"/>
        <v>16</v>
      </c>
      <c r="B50" s="64" t="s">
        <v>94</v>
      </c>
      <c r="C50" s="62">
        <v>13.56</v>
      </c>
      <c r="D50" s="63">
        <f t="shared" si="7"/>
        <v>1.25</v>
      </c>
      <c r="E50" s="63">
        <f t="shared" si="3"/>
        <v>0.25</v>
      </c>
      <c r="F50" s="63">
        <f t="shared" si="4"/>
        <v>112480.2</v>
      </c>
      <c r="G50" s="63">
        <f t="shared" si="5"/>
        <v>2678.1</v>
      </c>
      <c r="H50" s="63">
        <f t="shared" si="8"/>
        <v>51.750362317572232</v>
      </c>
      <c r="I50" s="134">
        <v>35</v>
      </c>
      <c r="J50" s="134">
        <f t="shared" si="9"/>
        <v>80</v>
      </c>
      <c r="K50" s="63">
        <f t="shared" si="10"/>
        <v>2800</v>
      </c>
      <c r="L50" s="76" t="str">
        <f t="shared" si="14"/>
        <v>OK !!!</v>
      </c>
      <c r="M50" s="130" t="str">
        <f t="shared" si="11"/>
        <v>35x80</v>
      </c>
      <c r="N50" s="136" t="s">
        <v>100</v>
      </c>
      <c r="O50" s="56"/>
      <c r="Q50" s="46"/>
      <c r="R50" s="47"/>
    </row>
    <row r="51" spans="1:18" ht="18.75" customHeight="1">
      <c r="A51" s="65">
        <f t="shared" si="12"/>
        <v>17</v>
      </c>
      <c r="B51" s="64" t="s">
        <v>94</v>
      </c>
      <c r="C51" s="62">
        <v>9.06</v>
      </c>
      <c r="D51" s="63">
        <f t="shared" si="7"/>
        <v>1.25</v>
      </c>
      <c r="E51" s="63">
        <f t="shared" si="3"/>
        <v>0.25</v>
      </c>
      <c r="F51" s="63">
        <f t="shared" si="4"/>
        <v>75152.7</v>
      </c>
      <c r="G51" s="63">
        <f t="shared" si="5"/>
        <v>1789.35</v>
      </c>
      <c r="H51" s="63">
        <f t="shared" si="8"/>
        <v>42.300709213912711</v>
      </c>
      <c r="I51" s="134">
        <v>35</v>
      </c>
      <c r="J51" s="134">
        <f t="shared" si="9"/>
        <v>55</v>
      </c>
      <c r="K51" s="63">
        <f t="shared" si="10"/>
        <v>1925</v>
      </c>
      <c r="L51" s="76" t="str">
        <f t="shared" si="14"/>
        <v>OK !!!</v>
      </c>
      <c r="M51" s="130" t="str">
        <f t="shared" si="11"/>
        <v>35x55</v>
      </c>
      <c r="N51" s="136" t="s">
        <v>178</v>
      </c>
      <c r="O51" s="56"/>
      <c r="Q51" s="46"/>
      <c r="R51" s="47"/>
    </row>
    <row r="52" spans="1:18" ht="18.75" customHeight="1">
      <c r="A52" s="65">
        <f t="shared" si="12"/>
        <v>18</v>
      </c>
      <c r="B52" s="64" t="s">
        <v>94</v>
      </c>
      <c r="C52" s="62">
        <v>6.36</v>
      </c>
      <c r="D52" s="63">
        <f t="shared" si="7"/>
        <v>1.25</v>
      </c>
      <c r="E52" s="63">
        <f t="shared" si="3"/>
        <v>0.25</v>
      </c>
      <c r="F52" s="63">
        <f t="shared" si="4"/>
        <v>52756.200000000004</v>
      </c>
      <c r="G52" s="63">
        <f t="shared" si="5"/>
        <v>1256.0999999999999</v>
      </c>
      <c r="H52" s="63">
        <f t="shared" si="8"/>
        <v>35.441501096877936</v>
      </c>
      <c r="I52" s="134">
        <f t="shared" si="13"/>
        <v>25</v>
      </c>
      <c r="J52" s="134">
        <f t="shared" si="9"/>
        <v>55</v>
      </c>
      <c r="K52" s="63">
        <f t="shared" si="10"/>
        <v>1375</v>
      </c>
      <c r="L52" s="76" t="str">
        <f t="shared" si="14"/>
        <v>OK !!!</v>
      </c>
      <c r="M52" s="130" t="str">
        <f t="shared" si="11"/>
        <v>25x55</v>
      </c>
      <c r="N52" s="136" t="s">
        <v>180</v>
      </c>
      <c r="O52" s="56"/>
      <c r="Q52" s="46"/>
      <c r="R52" s="47"/>
    </row>
    <row r="53" spans="1:18" ht="18.75" customHeight="1">
      <c r="A53" s="65">
        <f t="shared" si="12"/>
        <v>19</v>
      </c>
      <c r="B53" s="64" t="s">
        <v>94</v>
      </c>
      <c r="C53" s="62">
        <v>5.4</v>
      </c>
      <c r="D53" s="63">
        <f t="shared" si="7"/>
        <v>1.25</v>
      </c>
      <c r="E53" s="63">
        <f t="shared" si="3"/>
        <v>0.25</v>
      </c>
      <c r="F53" s="63">
        <f t="shared" si="4"/>
        <v>44793</v>
      </c>
      <c r="G53" s="63">
        <f t="shared" si="5"/>
        <v>1066.5</v>
      </c>
      <c r="H53" s="63">
        <f t="shared" si="8"/>
        <v>32.657311585615865</v>
      </c>
      <c r="I53" s="134">
        <f t="shared" si="13"/>
        <v>25</v>
      </c>
      <c r="J53" s="134">
        <f t="shared" si="9"/>
        <v>45</v>
      </c>
      <c r="K53" s="63">
        <f t="shared" si="10"/>
        <v>1125</v>
      </c>
      <c r="L53" s="76" t="str">
        <f t="shared" si="14"/>
        <v>OK !!!</v>
      </c>
      <c r="M53" s="130" t="str">
        <f t="shared" si="11"/>
        <v>25x45</v>
      </c>
      <c r="N53" s="136" t="s">
        <v>99</v>
      </c>
      <c r="O53" s="56"/>
      <c r="Q53" s="46"/>
      <c r="R53" s="47"/>
    </row>
    <row r="54" spans="1:18" ht="18.75" customHeight="1">
      <c r="A54" s="65">
        <f t="shared" si="12"/>
        <v>20</v>
      </c>
      <c r="B54" s="64" t="s">
        <v>93</v>
      </c>
      <c r="C54" s="62">
        <v>3.15</v>
      </c>
      <c r="D54" s="63">
        <f t="shared" si="7"/>
        <v>1.5</v>
      </c>
      <c r="E54" s="63">
        <f t="shared" si="3"/>
        <v>0.2</v>
      </c>
      <c r="F54" s="63">
        <f t="shared" si="4"/>
        <v>26129.25</v>
      </c>
      <c r="G54" s="63">
        <f t="shared" si="5"/>
        <v>933.1875</v>
      </c>
      <c r="H54" s="63">
        <f t="shared" si="8"/>
        <v>30.548117781624452</v>
      </c>
      <c r="I54" s="134">
        <f t="shared" si="13"/>
        <v>25</v>
      </c>
      <c r="J54" s="134">
        <f t="shared" si="9"/>
        <v>40</v>
      </c>
      <c r="K54" s="63">
        <f t="shared" si="10"/>
        <v>1000</v>
      </c>
      <c r="L54" s="76" t="str">
        <f t="shared" si="14"/>
        <v>OK !!!</v>
      </c>
      <c r="M54" s="131" t="str">
        <f t="shared" si="11"/>
        <v>25x40</v>
      </c>
      <c r="N54" s="136" t="s">
        <v>87</v>
      </c>
      <c r="O54" s="56"/>
      <c r="Q54" s="46"/>
      <c r="R54" s="47"/>
    </row>
  </sheetData>
  <mergeCells count="8">
    <mergeCell ref="M33:N34"/>
    <mergeCell ref="D33:L33"/>
    <mergeCell ref="A34:B34"/>
    <mergeCell ref="A2:N2"/>
    <mergeCell ref="A3:N3"/>
    <mergeCell ref="D29:L29"/>
    <mergeCell ref="M29:N30"/>
    <mergeCell ref="A30:B30"/>
  </mergeCells>
  <printOptions horizontalCentered="1"/>
  <pageMargins left="0.78740157480314965" right="0.39370078740157483" top="0.59055118110236227" bottom="0.78740157480314965" header="0.31496062992125984" footer="0.31496062992125984"/>
  <pageSetup paperSize="9" scale="68" orientation="portrait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O79"/>
  <sheetViews>
    <sheetView view="pageBreakPreview" zoomScaleSheetLayoutView="100" workbookViewId="0">
      <selection activeCell="H67" sqref="H67"/>
    </sheetView>
  </sheetViews>
  <sheetFormatPr baseColWidth="10" defaultRowHeight="12.75"/>
  <cols>
    <col min="1" max="1" width="6.42578125" style="46" customWidth="1"/>
    <col min="2" max="3" width="4.7109375" style="46" customWidth="1"/>
    <col min="4" max="4" width="15.85546875" style="46" customWidth="1"/>
    <col min="5" max="6" width="15.85546875" style="128" customWidth="1"/>
    <col min="7" max="7" width="10.140625" style="46" customWidth="1"/>
    <col min="8" max="8" width="11.7109375" style="46" customWidth="1"/>
    <col min="9" max="9" width="11.140625" style="46" customWidth="1"/>
    <col min="10" max="10" width="10.42578125" style="46" customWidth="1"/>
    <col min="11" max="12" width="11" style="46" customWidth="1"/>
    <col min="13" max="13" width="11" style="115" customWidth="1"/>
    <col min="14" max="14" width="4" style="110" bestFit="1" customWidth="1"/>
    <col min="15" max="15" width="7.42578125" style="46" bestFit="1" customWidth="1"/>
    <col min="16" max="16384" width="11.42578125" style="46"/>
  </cols>
  <sheetData>
    <row r="1" spans="1:15" ht="12" customHeight="1"/>
    <row r="2" spans="1:15" ht="19.5" customHeight="1">
      <c r="A2" s="222" t="s">
        <v>138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112"/>
      <c r="O2" s="113"/>
    </row>
    <row r="3" spans="1:15">
      <c r="A3" s="229" t="s">
        <v>92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114"/>
      <c r="O3" s="51"/>
    </row>
    <row r="4" spans="1:15">
      <c r="A4" s="115"/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N4" s="114"/>
      <c r="O4" s="51"/>
    </row>
    <row r="5" spans="1:15" ht="15.75">
      <c r="A5" s="124" t="s">
        <v>161</v>
      </c>
      <c r="B5" s="115"/>
      <c r="C5" s="115"/>
      <c r="D5" s="115"/>
      <c r="E5" s="115"/>
      <c r="F5" s="115"/>
      <c r="G5" s="115"/>
      <c r="H5" s="115"/>
      <c r="I5" s="115"/>
      <c r="J5" s="115"/>
      <c r="K5" s="115"/>
      <c r="L5" s="115"/>
      <c r="N5" s="114"/>
      <c r="O5" s="51"/>
    </row>
    <row r="6" spans="1:15">
      <c r="A6" s="115"/>
      <c r="B6" s="115"/>
      <c r="C6" s="115"/>
      <c r="D6" s="115"/>
      <c r="E6" s="115"/>
      <c r="F6" s="115"/>
      <c r="G6" s="115"/>
      <c r="H6" s="115"/>
      <c r="I6" s="115"/>
      <c r="J6" s="115"/>
      <c r="K6" s="115"/>
      <c r="L6" s="115"/>
      <c r="N6" s="114"/>
      <c r="O6" s="51"/>
    </row>
    <row r="7" spans="1:15">
      <c r="B7" s="227" t="s">
        <v>143</v>
      </c>
      <c r="C7" s="227"/>
      <c r="D7" s="227"/>
      <c r="E7" s="227"/>
      <c r="F7" s="227"/>
      <c r="H7" s="230" t="s">
        <v>144</v>
      </c>
      <c r="I7" s="231"/>
      <c r="K7" s="232" t="s">
        <v>159</v>
      </c>
      <c r="L7" s="232"/>
      <c r="N7" s="114"/>
      <c r="O7" s="51"/>
    </row>
    <row r="8" spans="1:15">
      <c r="B8" s="228" t="s">
        <v>125</v>
      </c>
      <c r="C8" s="228"/>
      <c r="D8" s="228"/>
      <c r="E8" s="228"/>
      <c r="F8" s="116" t="s">
        <v>115</v>
      </c>
      <c r="H8" s="117" t="s">
        <v>128</v>
      </c>
      <c r="I8" s="119">
        <f>VLOOKUP(F8,PARAMETROS!A4:B7,2)</f>
        <v>1</v>
      </c>
      <c r="K8" s="232" t="s">
        <v>160</v>
      </c>
      <c r="L8" s="232"/>
      <c r="N8" s="114"/>
      <c r="O8" s="51"/>
    </row>
    <row r="9" spans="1:15">
      <c r="B9" s="228" t="s">
        <v>117</v>
      </c>
      <c r="C9" s="228"/>
      <c r="D9" s="228"/>
      <c r="E9" s="228"/>
      <c r="F9" s="118">
        <v>2</v>
      </c>
      <c r="H9" s="117" t="s">
        <v>126</v>
      </c>
      <c r="I9" s="119">
        <f>VLOOKUP(F9,PARAMETROS!A13:B15,2)</f>
        <v>0.3</v>
      </c>
      <c r="K9" s="232"/>
      <c r="L9" s="232"/>
      <c r="N9" s="114"/>
      <c r="O9" s="51"/>
    </row>
    <row r="10" spans="1:15">
      <c r="B10" s="228" t="s">
        <v>119</v>
      </c>
      <c r="C10" s="228"/>
      <c r="D10" s="228"/>
      <c r="E10" s="228"/>
      <c r="F10" s="116" t="s">
        <v>122</v>
      </c>
      <c r="H10" s="117" t="s">
        <v>127</v>
      </c>
      <c r="I10" s="119">
        <f>VLOOKUP(F10,PARAMETROS!$A$20:$D$23,2)</f>
        <v>0.6</v>
      </c>
      <c r="K10" s="120"/>
      <c r="L10" s="115"/>
      <c r="N10" s="114"/>
      <c r="O10" s="51"/>
    </row>
    <row r="11" spans="1:15">
      <c r="B11" s="228" t="s">
        <v>140</v>
      </c>
      <c r="C11" s="228"/>
      <c r="D11" s="228"/>
      <c r="E11" s="228"/>
      <c r="F11" s="118">
        <v>1</v>
      </c>
      <c r="H11" s="117" t="s">
        <v>129</v>
      </c>
      <c r="I11" s="119">
        <f>VLOOKUP($F$10,PARAMETROS!$A$20:$C$23,3)</f>
        <v>1.2</v>
      </c>
      <c r="K11" s="120"/>
      <c r="L11" s="115"/>
      <c r="N11" s="114"/>
      <c r="O11" s="51"/>
    </row>
    <row r="12" spans="1:15">
      <c r="B12" s="228" t="s">
        <v>132</v>
      </c>
      <c r="C12" s="228"/>
      <c r="D12" s="228"/>
      <c r="E12" s="228"/>
      <c r="F12" s="116">
        <v>15.8</v>
      </c>
      <c r="H12" s="117" t="s">
        <v>141</v>
      </c>
      <c r="I12" s="156">
        <f>VLOOKUP($F$11,PARAMETROS!$A$26:$C$28,2)</f>
        <v>35</v>
      </c>
      <c r="K12" s="120"/>
      <c r="L12" s="115"/>
      <c r="N12" s="114"/>
      <c r="O12" s="51"/>
    </row>
    <row r="13" spans="1:15">
      <c r="K13" s="120"/>
      <c r="L13" s="115"/>
      <c r="N13" s="114"/>
      <c r="O13" s="51"/>
    </row>
    <row r="14" spans="1:15" ht="15" customHeight="1">
      <c r="B14" s="224" t="s">
        <v>139</v>
      </c>
      <c r="C14" s="123">
        <v>1</v>
      </c>
      <c r="D14" s="225" t="s">
        <v>135</v>
      </c>
      <c r="E14" s="225"/>
      <c r="F14" s="225"/>
      <c r="H14" s="117" t="s">
        <v>142</v>
      </c>
      <c r="I14" s="121">
        <f>+F12/I12</f>
        <v>0.45142857142857146</v>
      </c>
      <c r="K14" s="120"/>
      <c r="L14" s="115"/>
      <c r="N14" s="114"/>
      <c r="O14" s="51"/>
    </row>
    <row r="15" spans="1:15" ht="15" customHeight="1">
      <c r="B15" s="224"/>
      <c r="C15" s="123">
        <v>2</v>
      </c>
      <c r="D15" s="226" t="s">
        <v>136</v>
      </c>
      <c r="E15" s="226"/>
      <c r="F15" s="226"/>
      <c r="H15" s="117" t="s">
        <v>130</v>
      </c>
      <c r="I15" s="121">
        <f>IF(2.5*I10/I14&lt;=2.5,2.5*I10/I14,2.5)</f>
        <v>2.5</v>
      </c>
      <c r="K15" s="120"/>
      <c r="L15" s="115"/>
      <c r="N15" s="114"/>
      <c r="O15" s="51"/>
    </row>
    <row r="16" spans="1:15" ht="15" customHeight="1">
      <c r="B16" s="224"/>
      <c r="C16" s="123">
        <v>3</v>
      </c>
      <c r="D16" s="226" t="s">
        <v>137</v>
      </c>
      <c r="E16" s="226"/>
      <c r="F16" s="226"/>
      <c r="H16" s="117" t="s">
        <v>149</v>
      </c>
      <c r="I16" s="121">
        <f>+I8*I9*I11*I15</f>
        <v>0.89999999999999991</v>
      </c>
      <c r="K16" s="120"/>
      <c r="L16" s="115"/>
      <c r="N16" s="114"/>
      <c r="O16" s="51"/>
    </row>
    <row r="17" spans="1:15">
      <c r="K17" s="120"/>
      <c r="L17" s="115"/>
      <c r="N17" s="114"/>
      <c r="O17" s="51"/>
    </row>
    <row r="18" spans="1:15" ht="15.75">
      <c r="A18" s="124" t="s">
        <v>162</v>
      </c>
      <c r="K18" s="120"/>
      <c r="L18" s="115"/>
      <c r="N18" s="114"/>
      <c r="O18" s="51"/>
    </row>
    <row r="19" spans="1:15">
      <c r="K19" s="120"/>
      <c r="L19" s="115"/>
      <c r="N19" s="114"/>
      <c r="O19" s="51"/>
    </row>
    <row r="20" spans="1:15">
      <c r="A20" s="51" t="s">
        <v>88</v>
      </c>
      <c r="B20" s="51"/>
      <c r="C20" s="51"/>
      <c r="K20" s="152">
        <v>5</v>
      </c>
      <c r="L20" s="148" t="s">
        <v>89</v>
      </c>
    </row>
    <row r="21" spans="1:15">
      <c r="A21" s="51"/>
      <c r="B21" s="51"/>
      <c r="C21" s="51"/>
      <c r="K21" s="52"/>
      <c r="L21" s="148"/>
    </row>
    <row r="22" spans="1:15">
      <c r="A22" s="51" t="s">
        <v>6</v>
      </c>
      <c r="B22" s="51"/>
      <c r="C22" s="51"/>
      <c r="K22" s="52"/>
      <c r="L22" s="148"/>
    </row>
    <row r="23" spans="1:15">
      <c r="A23" s="51"/>
      <c r="B23" s="51"/>
      <c r="C23" s="51"/>
      <c r="K23" s="52"/>
      <c r="L23" s="148"/>
    </row>
    <row r="24" spans="1:15">
      <c r="A24" s="46" t="s">
        <v>107</v>
      </c>
      <c r="D24" s="52" t="s">
        <v>108</v>
      </c>
      <c r="E24" s="150">
        <v>5</v>
      </c>
      <c r="F24" s="129">
        <f>100*E24/25</f>
        <v>20</v>
      </c>
      <c r="G24" s="52" t="s">
        <v>109</v>
      </c>
      <c r="H24" s="78">
        <f>IF(F24&lt;=17,17,IF(F24&lt;=20,20,IF(F24&lt;=25,25,IF(F24&lt;=30,30,IF(F24&lt;=35,35,"Verificar")))))</f>
        <v>20</v>
      </c>
      <c r="K24" s="78">
        <f>IF(H24=17,280,IF(H24=20,300,IF(H24=25,350,IF(H24=30,420,IF(H24=35,475,"Verificar")))))</f>
        <v>300</v>
      </c>
      <c r="L24" s="148" t="s">
        <v>3</v>
      </c>
      <c r="M24" s="133"/>
    </row>
    <row r="25" spans="1:15">
      <c r="A25" s="46" t="s">
        <v>4</v>
      </c>
      <c r="D25" s="52" t="s">
        <v>106</v>
      </c>
      <c r="E25" s="150" t="s">
        <v>105</v>
      </c>
      <c r="F25" s="128" t="s">
        <v>103</v>
      </c>
      <c r="G25" s="151">
        <v>15</v>
      </c>
      <c r="H25" s="52" t="s">
        <v>104</v>
      </c>
      <c r="I25" s="151">
        <v>2.6</v>
      </c>
      <c r="J25" s="81">
        <f>IF(E25="SOLIDO",19*G25*I25,14*G25*I25)</f>
        <v>741</v>
      </c>
      <c r="K25" s="78">
        <f>IF(J25&gt;850,390,IF(J25&gt;700,330,IF(J25&gt;550,270,IF(J25&gt;400,210,IF(J25&gt;250,150,IF(J25&gt;75,60,IF(J25&gt;0,30,0)))))))</f>
        <v>330</v>
      </c>
      <c r="L25" s="148" t="s">
        <v>3</v>
      </c>
    </row>
    <row r="26" spans="1:15">
      <c r="A26" s="46" t="s">
        <v>5</v>
      </c>
      <c r="K26" s="78">
        <v>100</v>
      </c>
      <c r="L26" s="148" t="s">
        <v>3</v>
      </c>
    </row>
    <row r="27" spans="1:15">
      <c r="A27" s="46" t="s">
        <v>80</v>
      </c>
      <c r="K27" s="78">
        <v>100</v>
      </c>
      <c r="L27" s="148" t="s">
        <v>3</v>
      </c>
    </row>
    <row r="28" spans="1:15">
      <c r="A28" s="46" t="s">
        <v>81</v>
      </c>
      <c r="K28" s="78">
        <v>60</v>
      </c>
      <c r="L28" s="148" t="s">
        <v>3</v>
      </c>
    </row>
    <row r="29" spans="1:15">
      <c r="A29" s="122" t="s">
        <v>110</v>
      </c>
      <c r="K29" s="53"/>
      <c r="L29" s="148"/>
    </row>
    <row r="30" spans="1:15" ht="15">
      <c r="A30" s="55"/>
      <c r="B30" s="55"/>
      <c r="C30" s="55"/>
      <c r="H30" s="72"/>
      <c r="J30" s="147" t="s">
        <v>186</v>
      </c>
      <c r="K30" s="146">
        <f>SUM(K24:K29)</f>
        <v>890</v>
      </c>
      <c r="L30" s="149" t="s">
        <v>3</v>
      </c>
      <c r="M30" s="143"/>
    </row>
    <row r="31" spans="1:15">
      <c r="A31" s="51" t="s">
        <v>7</v>
      </c>
      <c r="B31" s="51"/>
      <c r="C31" s="51"/>
      <c r="F31" s="56"/>
      <c r="G31" s="55"/>
      <c r="H31" s="56"/>
      <c r="K31" s="57"/>
      <c r="L31" s="149"/>
    </row>
    <row r="32" spans="1:15">
      <c r="A32" s="51"/>
      <c r="B32" s="51"/>
      <c r="C32" s="51"/>
      <c r="F32" s="56" t="s">
        <v>86</v>
      </c>
      <c r="G32" s="55"/>
      <c r="H32" s="56"/>
      <c r="K32" s="57"/>
      <c r="L32" s="149"/>
    </row>
    <row r="33" spans="1:15">
      <c r="A33" s="55" t="s">
        <v>79</v>
      </c>
      <c r="B33" s="55"/>
      <c r="C33" s="55"/>
      <c r="F33" s="56"/>
      <c r="G33" s="55"/>
      <c r="H33" s="58"/>
      <c r="K33" s="153">
        <v>200</v>
      </c>
      <c r="L33" s="149" t="s">
        <v>173</v>
      </c>
    </row>
    <row r="34" spans="1:15">
      <c r="A34" s="55" t="s">
        <v>2</v>
      </c>
      <c r="B34" s="55"/>
      <c r="C34" s="55"/>
      <c r="F34" s="56"/>
      <c r="G34" s="55"/>
      <c r="H34" s="58"/>
      <c r="K34" s="145">
        <v>100</v>
      </c>
      <c r="L34" s="149" t="s">
        <v>173</v>
      </c>
    </row>
    <row r="35" spans="1:15">
      <c r="A35" s="55"/>
      <c r="B35" s="55"/>
      <c r="C35" s="55"/>
      <c r="F35" s="56"/>
      <c r="G35" s="55"/>
      <c r="H35" s="58"/>
      <c r="K35" s="59"/>
      <c r="L35" s="149"/>
    </row>
    <row r="36" spans="1:15" ht="15">
      <c r="A36" s="55"/>
      <c r="B36" s="55"/>
      <c r="C36" s="55"/>
      <c r="G36" s="77"/>
      <c r="H36" s="72"/>
      <c r="J36" s="147" t="s">
        <v>187</v>
      </c>
      <c r="K36" s="146">
        <f>K33+K34</f>
        <v>300</v>
      </c>
      <c r="L36" s="149" t="s">
        <v>3</v>
      </c>
      <c r="M36" s="143"/>
    </row>
    <row r="37" spans="1:15">
      <c r="A37" s="51" t="s">
        <v>83</v>
      </c>
      <c r="B37" s="51"/>
      <c r="C37" s="51"/>
      <c r="F37" s="56"/>
      <c r="G37" s="55"/>
      <c r="H37" s="56"/>
      <c r="K37" s="57"/>
      <c r="L37" s="149"/>
    </row>
    <row r="38" spans="1:15">
      <c r="A38" s="51"/>
      <c r="B38" s="51"/>
      <c r="C38" s="51"/>
      <c r="F38" s="56"/>
      <c r="G38" s="55"/>
      <c r="H38" s="56"/>
      <c r="K38" s="57"/>
      <c r="L38" s="149"/>
    </row>
    <row r="39" spans="1:15">
      <c r="A39" s="55" t="s">
        <v>84</v>
      </c>
      <c r="B39" s="55"/>
      <c r="C39" s="55"/>
      <c r="H39" s="58"/>
      <c r="K39" s="70">
        <f>1.5*SUM(K24:K28)+1.8*K33</f>
        <v>1695</v>
      </c>
      <c r="L39" s="149" t="s">
        <v>3</v>
      </c>
    </row>
    <row r="40" spans="1:15">
      <c r="A40" s="55" t="s">
        <v>11</v>
      </c>
      <c r="B40" s="55"/>
      <c r="C40" s="55"/>
      <c r="G40" s="71">
        <v>1</v>
      </c>
      <c r="H40" s="71">
        <f>+K20-1</f>
        <v>4</v>
      </c>
      <c r="K40" s="70">
        <f>+K39*4</f>
        <v>6780</v>
      </c>
      <c r="L40" s="149" t="s">
        <v>3</v>
      </c>
    </row>
    <row r="41" spans="1:15">
      <c r="A41" s="55" t="s">
        <v>96</v>
      </c>
      <c r="B41" s="55"/>
      <c r="C41" s="55"/>
      <c r="G41" s="71"/>
      <c r="H41" s="71">
        <f>+K20</f>
        <v>5</v>
      </c>
      <c r="K41" s="70">
        <f>1.5*SUM(K24:K28)+1.8*K34</f>
        <v>1515</v>
      </c>
      <c r="L41" s="149" t="s">
        <v>3</v>
      </c>
    </row>
    <row r="42" spans="1:15">
      <c r="A42" s="55"/>
      <c r="B42" s="55"/>
      <c r="C42" s="55"/>
      <c r="G42" s="71"/>
      <c r="H42" s="71"/>
      <c r="K42" s="70"/>
      <c r="L42" s="149"/>
      <c r="M42" s="143"/>
    </row>
    <row r="43" spans="1:15" ht="15">
      <c r="A43" s="55" t="s">
        <v>97</v>
      </c>
      <c r="B43" s="55"/>
      <c r="C43" s="55"/>
      <c r="H43" s="72">
        <f>+K20</f>
        <v>5</v>
      </c>
      <c r="J43" s="147" t="s">
        <v>188</v>
      </c>
      <c r="K43" s="146">
        <f>K40+K41</f>
        <v>8295</v>
      </c>
      <c r="L43" s="149" t="s">
        <v>3</v>
      </c>
    </row>
    <row r="44" spans="1:15">
      <c r="A44" s="55"/>
      <c r="B44" s="55"/>
      <c r="C44" s="55"/>
      <c r="H44" s="58"/>
      <c r="K44" s="70"/>
      <c r="L44" s="60"/>
    </row>
    <row r="45" spans="1:15" ht="15.75">
      <c r="A45" s="124" t="s">
        <v>164</v>
      </c>
      <c r="K45" s="120"/>
      <c r="L45" s="115"/>
      <c r="N45" s="114"/>
      <c r="O45" s="51"/>
    </row>
    <row r="46" spans="1:15">
      <c r="A46" s="55"/>
      <c r="B46" s="55"/>
      <c r="C46" s="55"/>
      <c r="H46" s="58"/>
      <c r="K46" s="70"/>
      <c r="L46" s="60"/>
    </row>
    <row r="47" spans="1:15">
      <c r="A47" s="55"/>
      <c r="B47" s="227" t="s">
        <v>143</v>
      </c>
      <c r="C47" s="227"/>
      <c r="D47" s="227"/>
      <c r="E47" s="227"/>
      <c r="F47" s="227"/>
      <c r="H47" s="58"/>
      <c r="K47" s="237" t="s">
        <v>159</v>
      </c>
      <c r="L47" s="237"/>
    </row>
    <row r="48" spans="1:15">
      <c r="A48" s="55"/>
      <c r="B48" s="228" t="s">
        <v>163</v>
      </c>
      <c r="C48" s="228"/>
      <c r="D48" s="228"/>
      <c r="E48" s="228"/>
      <c r="F48" s="154">
        <v>3.4</v>
      </c>
      <c r="G48" s="46" t="s">
        <v>169</v>
      </c>
      <c r="H48" s="58"/>
      <c r="K48" s="238" t="s">
        <v>160</v>
      </c>
      <c r="L48" s="239"/>
    </row>
    <row r="49" spans="1:14">
      <c r="A49" s="55"/>
      <c r="B49" s="228" t="s">
        <v>165</v>
      </c>
      <c r="C49" s="228"/>
      <c r="D49" s="228"/>
      <c r="E49" s="228"/>
      <c r="F49" s="154">
        <v>20</v>
      </c>
      <c r="G49" s="46" t="s">
        <v>170</v>
      </c>
      <c r="H49" s="58"/>
      <c r="K49" s="126" t="s">
        <v>172</v>
      </c>
      <c r="L49" s="127">
        <f>+I16*K43</f>
        <v>7465.4999999999991</v>
      </c>
      <c r="M49" s="115" t="s">
        <v>173</v>
      </c>
    </row>
    <row r="50" spans="1:14">
      <c r="A50" s="55"/>
      <c r="B50" s="228" t="s">
        <v>167</v>
      </c>
      <c r="C50" s="228"/>
      <c r="D50" s="228"/>
      <c r="E50" s="228"/>
      <c r="F50" s="154">
        <v>210</v>
      </c>
      <c r="G50" s="46" t="s">
        <v>168</v>
      </c>
      <c r="H50" s="58"/>
      <c r="K50" s="230" t="s">
        <v>189</v>
      </c>
      <c r="L50" s="231"/>
      <c r="M50" s="46"/>
    </row>
    <row r="51" spans="1:14">
      <c r="A51" s="55"/>
      <c r="B51" s="228" t="s">
        <v>166</v>
      </c>
      <c r="C51" s="228"/>
      <c r="D51" s="228"/>
      <c r="E51" s="228"/>
      <c r="F51" s="155">
        <v>7.0000000000000001E-3</v>
      </c>
      <c r="G51" s="46" t="s">
        <v>169</v>
      </c>
      <c r="H51" s="58"/>
      <c r="K51" s="70"/>
      <c r="L51" s="60"/>
    </row>
    <row r="52" spans="1:14">
      <c r="A52" s="55"/>
      <c r="B52" s="228" t="s">
        <v>171</v>
      </c>
      <c r="C52" s="228"/>
      <c r="D52" s="228"/>
      <c r="E52" s="228"/>
      <c r="F52" s="125">
        <f>15000*SQRT(F50)</f>
        <v>217370.65119284156</v>
      </c>
      <c r="H52" s="58"/>
      <c r="K52" s="70"/>
      <c r="L52" s="60"/>
    </row>
    <row r="53" spans="1:14">
      <c r="A53" s="55"/>
      <c r="B53" s="137"/>
      <c r="C53" s="137"/>
      <c r="D53" s="137"/>
      <c r="E53" s="137"/>
      <c r="F53" s="138"/>
      <c r="H53" s="58"/>
      <c r="K53" s="70"/>
      <c r="L53" s="60"/>
    </row>
    <row r="54" spans="1:14" ht="25.5" customHeight="1">
      <c r="A54" s="55"/>
      <c r="B54" s="55"/>
      <c r="C54" s="60"/>
      <c r="E54" s="233" t="s">
        <v>183</v>
      </c>
      <c r="F54" s="233"/>
      <c r="G54" s="233"/>
      <c r="H54" s="233"/>
      <c r="I54" s="233"/>
      <c r="J54" s="233"/>
      <c r="K54" s="233"/>
      <c r="L54" s="215" t="s">
        <v>98</v>
      </c>
      <c r="M54" s="216"/>
      <c r="N54" s="46"/>
    </row>
    <row r="55" spans="1:14" ht="27" customHeight="1">
      <c r="A55" s="219" t="s">
        <v>8</v>
      </c>
      <c r="B55" s="220"/>
      <c r="C55" s="221"/>
      <c r="D55" s="135" t="s">
        <v>9</v>
      </c>
      <c r="E55" s="135" t="s">
        <v>174</v>
      </c>
      <c r="F55" s="135" t="s">
        <v>69</v>
      </c>
      <c r="G55" s="135" t="s">
        <v>175</v>
      </c>
      <c r="H55" s="135" t="s">
        <v>177</v>
      </c>
      <c r="I55" s="135" t="s">
        <v>176</v>
      </c>
      <c r="J55" s="135" t="s">
        <v>69</v>
      </c>
      <c r="K55" s="107" t="s">
        <v>91</v>
      </c>
      <c r="L55" s="217"/>
      <c r="M55" s="218"/>
      <c r="N55" s="46"/>
    </row>
    <row r="56" spans="1:14" ht="18.75" customHeight="1">
      <c r="A56" s="234" t="s">
        <v>81</v>
      </c>
      <c r="B56" s="235"/>
      <c r="C56" s="236"/>
      <c r="D56" s="62">
        <f>SUM(D60:D79)</f>
        <v>146.93000000000004</v>
      </c>
      <c r="E56" s="111">
        <f>+$L$49*D56</f>
        <v>1096905.915</v>
      </c>
      <c r="F56" s="63">
        <f>+G56*G56</f>
        <v>1020.6319032427175</v>
      </c>
      <c r="G56" s="63">
        <f>+POWER((0.25*E56*$F$48*$F$48*10000/($F$49*$F$51*$F$52)),0.25)</f>
        <v>31.947330142638172</v>
      </c>
      <c r="H56" s="134">
        <v>25</v>
      </c>
      <c r="I56" s="134">
        <f>IF(G56&lt;25,25,IF(F56/H56&lt;25,25,(INT(((ROUND((F56/H56),0)+5)/5))*5)))</f>
        <v>45</v>
      </c>
      <c r="J56" s="63">
        <f t="shared" ref="J56" si="0">+H56*I56</f>
        <v>1125</v>
      </c>
      <c r="K56" s="76" t="str">
        <f t="shared" ref="K56" si="1">IF(J56&lt;F56,"VERIFICAR",IF(H56/I56&lt;0.4,"REDIMENSIONAR","OK !!!"))</f>
        <v>OK !!!</v>
      </c>
      <c r="L56" s="131" t="str">
        <f>CONCATENATE(H56,"x",I56)</f>
        <v>25x45</v>
      </c>
      <c r="M56" s="139" t="s">
        <v>182</v>
      </c>
      <c r="N56" s="46"/>
    </row>
    <row r="57" spans="1:14">
      <c r="A57" s="55"/>
      <c r="B57" s="137"/>
      <c r="C57" s="137"/>
      <c r="D57" s="137"/>
      <c r="E57" s="137"/>
      <c r="F57" s="138"/>
      <c r="H57" s="58"/>
      <c r="K57" s="70"/>
      <c r="L57" s="60"/>
    </row>
    <row r="58" spans="1:14" ht="25.5" customHeight="1">
      <c r="A58" s="55"/>
      <c r="B58" s="55"/>
      <c r="C58" s="60"/>
      <c r="E58" s="233" t="s">
        <v>184</v>
      </c>
      <c r="F58" s="233"/>
      <c r="G58" s="233"/>
      <c r="H58" s="233"/>
      <c r="I58" s="233"/>
      <c r="J58" s="233"/>
      <c r="K58" s="233"/>
      <c r="L58" s="215" t="s">
        <v>98</v>
      </c>
      <c r="M58" s="216"/>
      <c r="N58" s="46"/>
    </row>
    <row r="59" spans="1:14" ht="27" customHeight="1">
      <c r="A59" s="219" t="s">
        <v>8</v>
      </c>
      <c r="B59" s="220"/>
      <c r="C59" s="221"/>
      <c r="D59" s="135" t="s">
        <v>9</v>
      </c>
      <c r="E59" s="135" t="s">
        <v>174</v>
      </c>
      <c r="F59" s="135" t="s">
        <v>69</v>
      </c>
      <c r="G59" s="135" t="s">
        <v>175</v>
      </c>
      <c r="H59" s="135" t="s">
        <v>177</v>
      </c>
      <c r="I59" s="135" t="s">
        <v>176</v>
      </c>
      <c r="J59" s="135" t="s">
        <v>69</v>
      </c>
      <c r="K59" s="107" t="s">
        <v>91</v>
      </c>
      <c r="L59" s="217"/>
      <c r="M59" s="218"/>
      <c r="N59" s="46"/>
    </row>
    <row r="60" spans="1:14" ht="18.75" customHeight="1">
      <c r="A60" s="108">
        <v>1</v>
      </c>
      <c r="B60" s="109" t="s">
        <v>93</v>
      </c>
      <c r="C60" s="140"/>
      <c r="D60" s="62">
        <v>2.14</v>
      </c>
      <c r="E60" s="111">
        <f t="shared" ref="E60:E79" si="2">+$L$49*D60</f>
        <v>15976.169999999998</v>
      </c>
      <c r="F60" s="63">
        <f>+G60*G60</f>
        <v>550.85308339497385</v>
      </c>
      <c r="G60" s="63">
        <f>+POWER((0.25*E60*$F$48*$F$48*10000/($F$51*$F$52)),0.25)</f>
        <v>23.470259551078122</v>
      </c>
      <c r="H60" s="134">
        <v>25</v>
      </c>
      <c r="I60" s="134">
        <f>IF(G60&lt;25,25,IF(F60/H60&lt;25,25,(INT(((ROUND((F60/H60),0)+5)/5))*5)))</f>
        <v>25</v>
      </c>
      <c r="J60" s="63">
        <f t="shared" ref="J60:J79" si="3">+H60*I60</f>
        <v>625</v>
      </c>
      <c r="K60" s="76" t="str">
        <f t="shared" ref="K60:K79" si="4">IF(J60&lt;F60,"VERIFICAR",IF(H60/I60&lt;0.4,"REDIMENSIONAR","OK !!!"))</f>
        <v>OK !!!</v>
      </c>
      <c r="L60" s="132" t="str">
        <f>CONCATENATE(H60,"x",I60)</f>
        <v>25x25</v>
      </c>
      <c r="M60" s="142" t="s">
        <v>87</v>
      </c>
      <c r="N60" s="46"/>
    </row>
    <row r="61" spans="1:14" ht="18.75" customHeight="1">
      <c r="A61" s="65">
        <f>1+A60</f>
        <v>2</v>
      </c>
      <c r="B61" s="64" t="s">
        <v>94</v>
      </c>
      <c r="C61" s="141"/>
      <c r="D61" s="62">
        <v>3.76</v>
      </c>
      <c r="E61" s="111">
        <f t="shared" si="2"/>
        <v>28070.279999999995</v>
      </c>
      <c r="F61" s="63">
        <f t="shared" ref="F61:F79" si="5">+G61*G61</f>
        <v>730.16804149187772</v>
      </c>
      <c r="G61" s="63">
        <f t="shared" ref="G61:G79" si="6">+POWER((0.25*E61*$F$48*$F$48*10000/($F$51*$F$52)),0.25)</f>
        <v>27.021621740596505</v>
      </c>
      <c r="H61" s="134">
        <f>+$H$60</f>
        <v>25</v>
      </c>
      <c r="I61" s="134">
        <f t="shared" ref="I61:I79" si="7">IF(G61&lt;25,25,IF(F61/H61&lt;25,25,(INT(((ROUND((F61/H61),0)+5)/5))*5)))</f>
        <v>30</v>
      </c>
      <c r="J61" s="63">
        <f t="shared" si="3"/>
        <v>750</v>
      </c>
      <c r="K61" s="76" t="str">
        <f t="shared" si="4"/>
        <v>OK !!!</v>
      </c>
      <c r="L61" s="130" t="str">
        <f t="shared" ref="L61:L79" si="8">CONCATENATE(H61,"x",I61)</f>
        <v>25x30</v>
      </c>
      <c r="M61" s="142" t="s">
        <v>87</v>
      </c>
      <c r="N61" s="46"/>
    </row>
    <row r="62" spans="1:14" ht="18.75" customHeight="1">
      <c r="A62" s="65">
        <f t="shared" ref="A62:A79" si="9">1+A61</f>
        <v>3</v>
      </c>
      <c r="B62" s="64" t="s">
        <v>94</v>
      </c>
      <c r="C62" s="141"/>
      <c r="D62" s="62">
        <v>3.42</v>
      </c>
      <c r="E62" s="111">
        <f t="shared" si="2"/>
        <v>25532.009999999995</v>
      </c>
      <c r="F62" s="63">
        <f t="shared" si="5"/>
        <v>696.37304316934012</v>
      </c>
      <c r="G62" s="63">
        <f t="shared" si="6"/>
        <v>26.388881051862356</v>
      </c>
      <c r="H62" s="134">
        <f t="shared" ref="H62:H79" si="10">+$H$60</f>
        <v>25</v>
      </c>
      <c r="I62" s="134">
        <f t="shared" si="7"/>
        <v>30</v>
      </c>
      <c r="J62" s="63">
        <f t="shared" si="3"/>
        <v>750</v>
      </c>
      <c r="K62" s="76" t="str">
        <f t="shared" si="4"/>
        <v>OK !!!</v>
      </c>
      <c r="L62" s="130" t="str">
        <f t="shared" si="8"/>
        <v>25x30</v>
      </c>
      <c r="M62" s="142" t="s">
        <v>87</v>
      </c>
      <c r="N62" s="46"/>
    </row>
    <row r="63" spans="1:14" ht="18.75" customHeight="1">
      <c r="A63" s="65">
        <f t="shared" si="9"/>
        <v>4</v>
      </c>
      <c r="B63" s="64" t="s">
        <v>94</v>
      </c>
      <c r="C63" s="141"/>
      <c r="D63" s="62">
        <v>5.4</v>
      </c>
      <c r="E63" s="111">
        <f t="shared" si="2"/>
        <v>40313.699999999997</v>
      </c>
      <c r="F63" s="63">
        <f t="shared" si="5"/>
        <v>875.03571228137935</v>
      </c>
      <c r="G63" s="63">
        <f t="shared" si="6"/>
        <v>29.581002557069958</v>
      </c>
      <c r="H63" s="134">
        <f t="shared" si="10"/>
        <v>25</v>
      </c>
      <c r="I63" s="134">
        <f t="shared" si="7"/>
        <v>40</v>
      </c>
      <c r="J63" s="63">
        <f t="shared" si="3"/>
        <v>1000</v>
      </c>
      <c r="K63" s="76" t="str">
        <f t="shared" si="4"/>
        <v>OK !!!</v>
      </c>
      <c r="L63" s="130" t="str">
        <f t="shared" si="8"/>
        <v>25x40</v>
      </c>
      <c r="M63" s="142" t="s">
        <v>87</v>
      </c>
      <c r="N63" s="46"/>
    </row>
    <row r="64" spans="1:14" ht="18.75" customHeight="1">
      <c r="A64" s="65">
        <f t="shared" si="9"/>
        <v>5</v>
      </c>
      <c r="B64" s="64" t="s">
        <v>94</v>
      </c>
      <c r="C64" s="141"/>
      <c r="D64" s="62">
        <v>4.75</v>
      </c>
      <c r="E64" s="111">
        <f t="shared" si="2"/>
        <v>35461.124999999993</v>
      </c>
      <c r="F64" s="63">
        <f t="shared" si="5"/>
        <v>820.68350176758838</v>
      </c>
      <c r="G64" s="63">
        <f t="shared" si="6"/>
        <v>28.647574099172662</v>
      </c>
      <c r="H64" s="134">
        <f t="shared" si="10"/>
        <v>25</v>
      </c>
      <c r="I64" s="134">
        <f t="shared" si="7"/>
        <v>35</v>
      </c>
      <c r="J64" s="63">
        <f t="shared" si="3"/>
        <v>875</v>
      </c>
      <c r="K64" s="76" t="str">
        <f t="shared" si="4"/>
        <v>OK !!!</v>
      </c>
      <c r="L64" s="130" t="str">
        <f t="shared" si="8"/>
        <v>25x35</v>
      </c>
      <c r="M64" s="142" t="s">
        <v>87</v>
      </c>
      <c r="N64" s="46"/>
    </row>
    <row r="65" spans="1:14" ht="18.75" customHeight="1">
      <c r="A65" s="65">
        <f t="shared" si="9"/>
        <v>6</v>
      </c>
      <c r="B65" s="64" t="s">
        <v>93</v>
      </c>
      <c r="C65" s="141"/>
      <c r="D65" s="62">
        <v>2.85</v>
      </c>
      <c r="E65" s="111">
        <f t="shared" si="2"/>
        <v>21276.674999999999</v>
      </c>
      <c r="F65" s="63">
        <f t="shared" si="5"/>
        <v>635.69870697061106</v>
      </c>
      <c r="G65" s="63">
        <f t="shared" si="6"/>
        <v>25.213066195340286</v>
      </c>
      <c r="H65" s="134">
        <f t="shared" si="10"/>
        <v>25</v>
      </c>
      <c r="I65" s="134">
        <f t="shared" si="7"/>
        <v>30</v>
      </c>
      <c r="J65" s="63">
        <f t="shared" si="3"/>
        <v>750</v>
      </c>
      <c r="K65" s="76" t="str">
        <f t="shared" si="4"/>
        <v>OK !!!</v>
      </c>
      <c r="L65" s="130" t="str">
        <f t="shared" si="8"/>
        <v>25x30</v>
      </c>
      <c r="M65" s="142" t="s">
        <v>87</v>
      </c>
      <c r="N65" s="46"/>
    </row>
    <row r="66" spans="1:14" ht="18.75" customHeight="1">
      <c r="A66" s="65">
        <f t="shared" si="9"/>
        <v>7</v>
      </c>
      <c r="B66" s="64" t="s">
        <v>95</v>
      </c>
      <c r="C66" s="141"/>
      <c r="D66" s="62">
        <v>5.23</v>
      </c>
      <c r="E66" s="111">
        <f t="shared" si="2"/>
        <v>39044.564999999995</v>
      </c>
      <c r="F66" s="63">
        <f t="shared" si="5"/>
        <v>861.15185709966534</v>
      </c>
      <c r="G66" s="63">
        <f t="shared" si="6"/>
        <v>29.345389026211006</v>
      </c>
      <c r="H66" s="134">
        <f t="shared" si="10"/>
        <v>25</v>
      </c>
      <c r="I66" s="134">
        <f t="shared" si="7"/>
        <v>35</v>
      </c>
      <c r="J66" s="63">
        <f t="shared" si="3"/>
        <v>875</v>
      </c>
      <c r="K66" s="76" t="str">
        <f t="shared" si="4"/>
        <v>OK !!!</v>
      </c>
      <c r="L66" s="130" t="str">
        <f t="shared" si="8"/>
        <v>25x35</v>
      </c>
      <c r="M66" s="142" t="s">
        <v>87</v>
      </c>
      <c r="N66" s="46"/>
    </row>
    <row r="67" spans="1:14" ht="18.75" customHeight="1">
      <c r="A67" s="65">
        <f t="shared" si="9"/>
        <v>8</v>
      </c>
      <c r="B67" s="64" t="s">
        <v>95</v>
      </c>
      <c r="C67" s="141"/>
      <c r="D67" s="62">
        <v>18.149999999999999</v>
      </c>
      <c r="E67" s="111">
        <f t="shared" si="2"/>
        <v>135498.82499999998</v>
      </c>
      <c r="F67" s="63">
        <f t="shared" si="5"/>
        <v>1604.2321391825285</v>
      </c>
      <c r="G67" s="63">
        <f t="shared" si="6"/>
        <v>40.052866803545143</v>
      </c>
      <c r="H67" s="134">
        <v>30</v>
      </c>
      <c r="I67" s="134">
        <f t="shared" si="7"/>
        <v>55</v>
      </c>
      <c r="J67" s="63">
        <f t="shared" si="3"/>
        <v>1650</v>
      </c>
      <c r="K67" s="76" t="str">
        <f t="shared" si="4"/>
        <v>OK !!!</v>
      </c>
      <c r="L67" s="130" t="str">
        <f t="shared" si="8"/>
        <v>30x55</v>
      </c>
      <c r="M67" s="142" t="s">
        <v>99</v>
      </c>
      <c r="N67" s="46"/>
    </row>
    <row r="68" spans="1:14" ht="18.75" customHeight="1">
      <c r="A68" s="65">
        <f t="shared" si="9"/>
        <v>9</v>
      </c>
      <c r="B68" s="64" t="s">
        <v>95</v>
      </c>
      <c r="C68" s="141"/>
      <c r="D68" s="62">
        <v>7.31</v>
      </c>
      <c r="E68" s="111">
        <f t="shared" si="2"/>
        <v>54572.804999999993</v>
      </c>
      <c r="F68" s="63">
        <f t="shared" si="5"/>
        <v>1018.0933167484528</v>
      </c>
      <c r="G68" s="63">
        <f t="shared" si="6"/>
        <v>31.907574598337192</v>
      </c>
      <c r="H68" s="134">
        <f t="shared" si="10"/>
        <v>25</v>
      </c>
      <c r="I68" s="134">
        <f t="shared" si="7"/>
        <v>45</v>
      </c>
      <c r="J68" s="63">
        <f t="shared" si="3"/>
        <v>1125</v>
      </c>
      <c r="K68" s="76" t="str">
        <f t="shared" si="4"/>
        <v>OK !!!</v>
      </c>
      <c r="L68" s="130" t="str">
        <f t="shared" si="8"/>
        <v>25x45</v>
      </c>
      <c r="M68" s="142" t="s">
        <v>100</v>
      </c>
      <c r="N68" s="46"/>
    </row>
    <row r="69" spans="1:14" ht="18.75" customHeight="1">
      <c r="A69" s="65">
        <f t="shared" si="9"/>
        <v>10</v>
      </c>
      <c r="B69" s="64" t="s">
        <v>95</v>
      </c>
      <c r="C69" s="141"/>
      <c r="D69" s="62">
        <v>9.41</v>
      </c>
      <c r="E69" s="111">
        <f t="shared" si="2"/>
        <v>70250.354999999996</v>
      </c>
      <c r="F69" s="63">
        <f t="shared" si="5"/>
        <v>1155.1109738249795</v>
      </c>
      <c r="G69" s="63">
        <f t="shared" si="6"/>
        <v>33.986923571058611</v>
      </c>
      <c r="H69" s="134">
        <f t="shared" si="10"/>
        <v>25</v>
      </c>
      <c r="I69" s="134">
        <f t="shared" si="7"/>
        <v>50</v>
      </c>
      <c r="J69" s="63">
        <f t="shared" si="3"/>
        <v>1250</v>
      </c>
      <c r="K69" s="76" t="str">
        <f t="shared" si="4"/>
        <v>OK !!!</v>
      </c>
      <c r="L69" s="130" t="str">
        <f t="shared" si="8"/>
        <v>25x50</v>
      </c>
      <c r="M69" s="142" t="s">
        <v>100</v>
      </c>
      <c r="N69" s="46"/>
    </row>
    <row r="70" spans="1:14" ht="18.75" customHeight="1">
      <c r="A70" s="65">
        <f t="shared" si="9"/>
        <v>11</v>
      </c>
      <c r="B70" s="64" t="s">
        <v>95</v>
      </c>
      <c r="C70" s="141"/>
      <c r="D70" s="62">
        <v>12.83</v>
      </c>
      <c r="E70" s="111">
        <f t="shared" si="2"/>
        <v>95782.364999999991</v>
      </c>
      <c r="F70" s="63">
        <f t="shared" si="5"/>
        <v>1348.7834433680678</v>
      </c>
      <c r="G70" s="63">
        <f t="shared" si="6"/>
        <v>36.725787171523876</v>
      </c>
      <c r="H70" s="134">
        <f t="shared" si="10"/>
        <v>25</v>
      </c>
      <c r="I70" s="134">
        <f t="shared" si="7"/>
        <v>55</v>
      </c>
      <c r="J70" s="63">
        <f t="shared" si="3"/>
        <v>1375</v>
      </c>
      <c r="K70" s="76" t="str">
        <f t="shared" si="4"/>
        <v>OK !!!</v>
      </c>
      <c r="L70" s="130" t="str">
        <f t="shared" si="8"/>
        <v>25x55</v>
      </c>
      <c r="M70" s="142" t="s">
        <v>100</v>
      </c>
      <c r="N70" s="46"/>
    </row>
    <row r="71" spans="1:14" ht="18.75" customHeight="1">
      <c r="A71" s="65">
        <f t="shared" si="9"/>
        <v>12</v>
      </c>
      <c r="B71" s="64" t="s">
        <v>95</v>
      </c>
      <c r="C71" s="141"/>
      <c r="D71" s="62">
        <v>11.77</v>
      </c>
      <c r="E71" s="111">
        <f t="shared" si="2"/>
        <v>87868.934999999983</v>
      </c>
      <c r="F71" s="63">
        <f t="shared" si="5"/>
        <v>1291.8649918515575</v>
      </c>
      <c r="G71" s="63">
        <f t="shared" si="6"/>
        <v>35.942523448577695</v>
      </c>
      <c r="H71" s="134">
        <f t="shared" si="10"/>
        <v>25</v>
      </c>
      <c r="I71" s="134">
        <f t="shared" si="7"/>
        <v>55</v>
      </c>
      <c r="J71" s="63">
        <f t="shared" si="3"/>
        <v>1375</v>
      </c>
      <c r="K71" s="76" t="str">
        <f t="shared" si="4"/>
        <v>OK !!!</v>
      </c>
      <c r="L71" s="130" t="str">
        <f t="shared" si="8"/>
        <v>25x55</v>
      </c>
      <c r="M71" s="142" t="s">
        <v>100</v>
      </c>
      <c r="N71" s="46"/>
    </row>
    <row r="72" spans="1:14" ht="18.75" customHeight="1">
      <c r="A72" s="65">
        <f t="shared" si="9"/>
        <v>13</v>
      </c>
      <c r="B72" s="64" t="s">
        <v>95</v>
      </c>
      <c r="C72" s="141"/>
      <c r="D72" s="62">
        <v>10.17</v>
      </c>
      <c r="E72" s="111">
        <f t="shared" si="2"/>
        <v>75924.134999999995</v>
      </c>
      <c r="F72" s="63">
        <f t="shared" si="5"/>
        <v>1200.8516925343665</v>
      </c>
      <c r="G72" s="63">
        <f t="shared" si="6"/>
        <v>34.653307093758983</v>
      </c>
      <c r="H72" s="134">
        <f t="shared" si="10"/>
        <v>25</v>
      </c>
      <c r="I72" s="134">
        <f t="shared" si="7"/>
        <v>50</v>
      </c>
      <c r="J72" s="63">
        <f t="shared" si="3"/>
        <v>1250</v>
      </c>
      <c r="K72" s="76" t="str">
        <f t="shared" si="4"/>
        <v>OK !!!</v>
      </c>
      <c r="L72" s="130" t="str">
        <f t="shared" si="8"/>
        <v>25x50</v>
      </c>
      <c r="M72" s="142" t="s">
        <v>100</v>
      </c>
      <c r="N72" s="46"/>
    </row>
    <row r="73" spans="1:14" ht="18.75" customHeight="1">
      <c r="A73" s="65">
        <f t="shared" si="9"/>
        <v>14</v>
      </c>
      <c r="B73" s="64" t="s">
        <v>94</v>
      </c>
      <c r="C73" s="141"/>
      <c r="D73" s="62">
        <v>6.01</v>
      </c>
      <c r="E73" s="111">
        <f t="shared" si="2"/>
        <v>44867.654999999992</v>
      </c>
      <c r="F73" s="63">
        <f t="shared" si="5"/>
        <v>923.13694878892522</v>
      </c>
      <c r="G73" s="63">
        <f t="shared" si="6"/>
        <v>30.38316884047688</v>
      </c>
      <c r="H73" s="134">
        <f t="shared" si="10"/>
        <v>25</v>
      </c>
      <c r="I73" s="134">
        <f t="shared" si="7"/>
        <v>40</v>
      </c>
      <c r="J73" s="63">
        <f t="shared" si="3"/>
        <v>1000</v>
      </c>
      <c r="K73" s="76" t="str">
        <f t="shared" si="4"/>
        <v>OK !!!</v>
      </c>
      <c r="L73" s="130" t="str">
        <f t="shared" si="8"/>
        <v>25x40</v>
      </c>
      <c r="M73" s="142" t="s">
        <v>87</v>
      </c>
      <c r="N73" s="46"/>
    </row>
    <row r="74" spans="1:14" ht="18.75" customHeight="1">
      <c r="A74" s="65">
        <f t="shared" si="9"/>
        <v>15</v>
      </c>
      <c r="B74" s="64" t="s">
        <v>93</v>
      </c>
      <c r="C74" s="141"/>
      <c r="D74" s="62">
        <v>6.2</v>
      </c>
      <c r="E74" s="111">
        <f t="shared" si="2"/>
        <v>46286.1</v>
      </c>
      <c r="F74" s="63">
        <f t="shared" si="5"/>
        <v>937.6154236264822</v>
      </c>
      <c r="G74" s="63">
        <f t="shared" si="6"/>
        <v>30.62050658670562</v>
      </c>
      <c r="H74" s="134">
        <f t="shared" si="10"/>
        <v>25</v>
      </c>
      <c r="I74" s="134">
        <f t="shared" si="7"/>
        <v>40</v>
      </c>
      <c r="J74" s="63">
        <f t="shared" si="3"/>
        <v>1000</v>
      </c>
      <c r="K74" s="76" t="str">
        <f t="shared" si="4"/>
        <v>OK !!!</v>
      </c>
      <c r="L74" s="130" t="str">
        <f t="shared" si="8"/>
        <v>25x40</v>
      </c>
      <c r="M74" s="142" t="s">
        <v>87</v>
      </c>
      <c r="N74" s="46"/>
    </row>
    <row r="75" spans="1:14" ht="18.75" customHeight="1">
      <c r="A75" s="65">
        <f t="shared" si="9"/>
        <v>16</v>
      </c>
      <c r="B75" s="64" t="s">
        <v>94</v>
      </c>
      <c r="C75" s="141"/>
      <c r="D75" s="62">
        <v>13.56</v>
      </c>
      <c r="E75" s="111">
        <f t="shared" si="2"/>
        <v>101232.18</v>
      </c>
      <c r="F75" s="63">
        <f t="shared" si="5"/>
        <v>1386.6240958830695</v>
      </c>
      <c r="G75" s="63">
        <f t="shared" si="6"/>
        <v>37.237401841200864</v>
      </c>
      <c r="H75" s="134">
        <f t="shared" si="10"/>
        <v>25</v>
      </c>
      <c r="I75" s="134">
        <f t="shared" si="7"/>
        <v>60</v>
      </c>
      <c r="J75" s="63">
        <f t="shared" si="3"/>
        <v>1500</v>
      </c>
      <c r="K75" s="76" t="str">
        <f t="shared" si="4"/>
        <v>OK !!!</v>
      </c>
      <c r="L75" s="130" t="str">
        <f t="shared" si="8"/>
        <v>25x60</v>
      </c>
      <c r="M75" s="142" t="s">
        <v>100</v>
      </c>
      <c r="N75" s="46"/>
    </row>
    <row r="76" spans="1:14" ht="18.75" customHeight="1">
      <c r="A76" s="65">
        <f t="shared" si="9"/>
        <v>17</v>
      </c>
      <c r="B76" s="64" t="s">
        <v>94</v>
      </c>
      <c r="C76" s="141"/>
      <c r="D76" s="62">
        <v>9.06</v>
      </c>
      <c r="E76" s="111">
        <f t="shared" si="2"/>
        <v>67637.429999999993</v>
      </c>
      <c r="F76" s="63">
        <f t="shared" si="5"/>
        <v>1133.4255460669024</v>
      </c>
      <c r="G76" s="63">
        <f t="shared" si="6"/>
        <v>33.666385996523331</v>
      </c>
      <c r="H76" s="134">
        <f t="shared" si="10"/>
        <v>25</v>
      </c>
      <c r="I76" s="134">
        <f t="shared" si="7"/>
        <v>50</v>
      </c>
      <c r="J76" s="63">
        <f t="shared" si="3"/>
        <v>1250</v>
      </c>
      <c r="K76" s="76" t="str">
        <f t="shared" si="4"/>
        <v>OK !!!</v>
      </c>
      <c r="L76" s="130" t="str">
        <f t="shared" si="8"/>
        <v>25x50</v>
      </c>
      <c r="M76" s="142" t="s">
        <v>100</v>
      </c>
      <c r="N76" s="46"/>
    </row>
    <row r="77" spans="1:14" ht="18.75" customHeight="1">
      <c r="A77" s="65">
        <f t="shared" si="9"/>
        <v>18</v>
      </c>
      <c r="B77" s="64" t="s">
        <v>94</v>
      </c>
      <c r="C77" s="141"/>
      <c r="D77" s="62">
        <v>6.36</v>
      </c>
      <c r="E77" s="111">
        <f t="shared" si="2"/>
        <v>47480.579999999994</v>
      </c>
      <c r="F77" s="63">
        <f t="shared" si="5"/>
        <v>949.63662502725992</v>
      </c>
      <c r="G77" s="63">
        <f t="shared" si="6"/>
        <v>30.816174730606328</v>
      </c>
      <c r="H77" s="134">
        <f t="shared" si="10"/>
        <v>25</v>
      </c>
      <c r="I77" s="134">
        <f t="shared" si="7"/>
        <v>40</v>
      </c>
      <c r="J77" s="63">
        <f t="shared" si="3"/>
        <v>1000</v>
      </c>
      <c r="K77" s="76" t="str">
        <f t="shared" si="4"/>
        <v>OK !!!</v>
      </c>
      <c r="L77" s="130" t="str">
        <f t="shared" si="8"/>
        <v>25x40</v>
      </c>
      <c r="M77" s="142" t="s">
        <v>100</v>
      </c>
      <c r="N77" s="46"/>
    </row>
    <row r="78" spans="1:14" ht="18.75" customHeight="1">
      <c r="A78" s="65">
        <f t="shared" si="9"/>
        <v>19</v>
      </c>
      <c r="B78" s="64" t="s">
        <v>94</v>
      </c>
      <c r="C78" s="141"/>
      <c r="D78" s="62">
        <v>5.4</v>
      </c>
      <c r="E78" s="111">
        <f t="shared" si="2"/>
        <v>40313.699999999997</v>
      </c>
      <c r="F78" s="63">
        <f t="shared" si="5"/>
        <v>875.03571228137935</v>
      </c>
      <c r="G78" s="63">
        <f t="shared" si="6"/>
        <v>29.581002557069958</v>
      </c>
      <c r="H78" s="134">
        <f t="shared" si="10"/>
        <v>25</v>
      </c>
      <c r="I78" s="134">
        <f t="shared" si="7"/>
        <v>40</v>
      </c>
      <c r="J78" s="63">
        <f t="shared" si="3"/>
        <v>1000</v>
      </c>
      <c r="K78" s="76" t="str">
        <f t="shared" si="4"/>
        <v>OK !!!</v>
      </c>
      <c r="L78" s="130" t="str">
        <f t="shared" si="8"/>
        <v>25x40</v>
      </c>
      <c r="M78" s="142" t="s">
        <v>87</v>
      </c>
      <c r="N78" s="46"/>
    </row>
    <row r="79" spans="1:14" ht="18.75" customHeight="1">
      <c r="A79" s="65">
        <f t="shared" si="9"/>
        <v>20</v>
      </c>
      <c r="B79" s="64" t="s">
        <v>93</v>
      </c>
      <c r="C79" s="141"/>
      <c r="D79" s="62">
        <v>3.15</v>
      </c>
      <c r="E79" s="111">
        <f t="shared" si="2"/>
        <v>23516.324999999997</v>
      </c>
      <c r="F79" s="63">
        <f t="shared" si="5"/>
        <v>668.31956455317027</v>
      </c>
      <c r="G79" s="63">
        <f t="shared" si="6"/>
        <v>25.851877389334227</v>
      </c>
      <c r="H79" s="134">
        <f t="shared" si="10"/>
        <v>25</v>
      </c>
      <c r="I79" s="134">
        <f t="shared" si="7"/>
        <v>30</v>
      </c>
      <c r="J79" s="63">
        <f t="shared" si="3"/>
        <v>750</v>
      </c>
      <c r="K79" s="76" t="str">
        <f t="shared" si="4"/>
        <v>OK !!!</v>
      </c>
      <c r="L79" s="131" t="str">
        <f t="shared" si="8"/>
        <v>25x30</v>
      </c>
      <c r="M79" s="142" t="s">
        <v>87</v>
      </c>
      <c r="N79" s="46"/>
    </row>
  </sheetData>
  <mergeCells count="31">
    <mergeCell ref="B47:F47"/>
    <mergeCell ref="B50:E50"/>
    <mergeCell ref="B52:E52"/>
    <mergeCell ref="K47:L47"/>
    <mergeCell ref="K48:L48"/>
    <mergeCell ref="A59:C59"/>
    <mergeCell ref="B48:E48"/>
    <mergeCell ref="B49:E49"/>
    <mergeCell ref="B51:E51"/>
    <mergeCell ref="L58:M59"/>
    <mergeCell ref="E58:K58"/>
    <mergeCell ref="E54:K54"/>
    <mergeCell ref="L54:M55"/>
    <mergeCell ref="A55:C55"/>
    <mergeCell ref="A56:C56"/>
    <mergeCell ref="K50:L50"/>
    <mergeCell ref="A2:M2"/>
    <mergeCell ref="A3:M3"/>
    <mergeCell ref="H7:I7"/>
    <mergeCell ref="K7:L7"/>
    <mergeCell ref="K8:L9"/>
    <mergeCell ref="B14:B16"/>
    <mergeCell ref="D14:F14"/>
    <mergeCell ref="D15:F15"/>
    <mergeCell ref="D16:F16"/>
    <mergeCell ref="B7:F7"/>
    <mergeCell ref="B8:E8"/>
    <mergeCell ref="B9:E9"/>
    <mergeCell ref="B10:E10"/>
    <mergeCell ref="B12:E12"/>
    <mergeCell ref="B11:E11"/>
  </mergeCells>
  <dataValidations count="3">
    <dataValidation type="list" allowBlank="1" showInputMessage="1" showErrorMessage="1" sqref="F9 F11">
      <formula1>"1,2,3"</formula1>
    </dataValidation>
    <dataValidation type="list" allowBlank="1" showInputMessage="1" showErrorMessage="1" sqref="F8">
      <formula1>"A,B,C,D"</formula1>
    </dataValidation>
    <dataValidation type="list" allowBlank="1" showInputMessage="1" showErrorMessage="1" sqref="F10">
      <formula1>"S1,S2,S3,S4"</formula1>
    </dataValidation>
  </dataValidations>
  <printOptions horizontalCentered="1"/>
  <pageMargins left="0.78740157480314965" right="0.39370078740157483" top="0.59055118110236227" bottom="0.78740157480314965" header="0.31496062992125984" footer="0.31496062992125984"/>
  <pageSetup paperSize="9" scale="63" orientation="portrait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Q64"/>
  <sheetViews>
    <sheetView view="pageBreakPreview" zoomScaleSheetLayoutView="100" workbookViewId="0">
      <selection activeCell="H21" sqref="H21"/>
    </sheetView>
  </sheetViews>
  <sheetFormatPr baseColWidth="10" defaultRowHeight="12.75"/>
  <cols>
    <col min="1" max="3" width="3" style="161" customWidth="1"/>
    <col min="4" max="4" width="6" style="161" customWidth="1"/>
    <col min="5" max="5" width="12.140625" style="161" customWidth="1"/>
    <col min="6" max="6" width="16.5703125" style="46" customWidth="1"/>
    <col min="7" max="8" width="15.85546875" style="128" customWidth="1"/>
    <col min="9" max="9" width="12.28515625" style="128" customWidth="1"/>
    <col min="10" max="10" width="11.7109375" style="46" customWidth="1"/>
    <col min="11" max="11" width="11.140625" style="46" customWidth="1"/>
    <col min="12" max="12" width="10.42578125" style="46" customWidth="1"/>
    <col min="13" max="13" width="11" style="46" customWidth="1"/>
    <col min="14" max="14" width="8" style="46" customWidth="1"/>
    <col min="15" max="15" width="8" style="159" customWidth="1"/>
    <col min="16" max="16" width="4" style="110" bestFit="1" customWidth="1"/>
    <col min="17" max="17" width="7.42578125" style="46" bestFit="1" customWidth="1"/>
    <col min="18" max="16384" width="11.42578125" style="46"/>
  </cols>
  <sheetData>
    <row r="1" spans="1:17" ht="12" customHeight="1"/>
    <row r="2" spans="1:17" ht="19.5" customHeight="1">
      <c r="A2" s="222" t="s">
        <v>190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112"/>
      <c r="Q2" s="113"/>
    </row>
    <row r="3" spans="1:17">
      <c r="A3" s="229" t="s">
        <v>92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114"/>
      <c r="Q3" s="51"/>
    </row>
    <row r="4" spans="1:17">
      <c r="M4" s="120"/>
      <c r="N4" s="159"/>
      <c r="P4" s="114"/>
      <c r="Q4" s="51"/>
    </row>
    <row r="5" spans="1:17" ht="15.75">
      <c r="A5" s="162" t="s">
        <v>162</v>
      </c>
      <c r="M5" s="120"/>
      <c r="N5" s="159"/>
      <c r="P5" s="114"/>
      <c r="Q5" s="51"/>
    </row>
    <row r="6" spans="1:17">
      <c r="M6" s="120"/>
      <c r="N6" s="159"/>
      <c r="P6" s="114"/>
      <c r="Q6" s="51"/>
    </row>
    <row r="7" spans="1:17">
      <c r="A7" s="163" t="s">
        <v>88</v>
      </c>
      <c r="B7" s="163"/>
      <c r="C7" s="163"/>
      <c r="D7" s="163"/>
      <c r="E7" s="163"/>
      <c r="M7" s="152">
        <v>5</v>
      </c>
      <c r="N7" s="148" t="s">
        <v>89</v>
      </c>
    </row>
    <row r="8" spans="1:17">
      <c r="A8" s="163"/>
      <c r="B8" s="163"/>
      <c r="C8" s="163"/>
      <c r="D8" s="163"/>
      <c r="E8" s="163"/>
      <c r="M8" s="52"/>
      <c r="N8" s="148"/>
    </row>
    <row r="9" spans="1:17">
      <c r="A9" s="163" t="s">
        <v>6</v>
      </c>
      <c r="B9" s="163"/>
      <c r="C9" s="163"/>
      <c r="D9" s="163"/>
      <c r="E9" s="163"/>
      <c r="M9" s="52"/>
      <c r="N9" s="148"/>
    </row>
    <row r="10" spans="1:17">
      <c r="A10" s="163"/>
      <c r="B10" s="163"/>
      <c r="C10" s="163"/>
      <c r="D10" s="163"/>
      <c r="E10" s="163"/>
      <c r="M10" s="52"/>
      <c r="N10" s="148"/>
    </row>
    <row r="11" spans="1:17">
      <c r="A11" s="161" t="s">
        <v>107</v>
      </c>
      <c r="F11" s="52" t="s">
        <v>108</v>
      </c>
      <c r="G11" s="150">
        <v>5</v>
      </c>
      <c r="I11" s="129">
        <f>100*G11/25</f>
        <v>20</v>
      </c>
      <c r="J11" s="78">
        <f>IF(I11&lt;=17,17,IF(I11&lt;=20,20,IF(I11&lt;=25,25,IF(I11&lt;=30,30,IF(I11&lt;=35,35,"Verificar")))))</f>
        <v>20</v>
      </c>
      <c r="M11" s="78">
        <f>IF(J11=17,280,IF(J11=20,300,IF(J11=25,350,IF(J11=30,420,IF(J11=35,475,"Verificar")))))</f>
        <v>300</v>
      </c>
      <c r="N11" s="148" t="s">
        <v>3</v>
      </c>
      <c r="O11" s="133"/>
    </row>
    <row r="12" spans="1:17">
      <c r="A12" s="161" t="s">
        <v>4</v>
      </c>
      <c r="F12" s="52" t="s">
        <v>106</v>
      </c>
      <c r="G12" s="150" t="s">
        <v>105</v>
      </c>
      <c r="H12" s="128" t="s">
        <v>103</v>
      </c>
      <c r="I12" s="150">
        <v>15</v>
      </c>
      <c r="J12" s="52" t="s">
        <v>104</v>
      </c>
      <c r="K12" s="151">
        <v>2.6</v>
      </c>
      <c r="L12" s="81">
        <f>IF(G12="SOLIDO",19*I12*K12,14*I12*K12)</f>
        <v>741</v>
      </c>
      <c r="M12" s="78">
        <f>IF(L12&gt;850,390,IF(L12&gt;700,330,IF(L12&gt;550,270,IF(L12&gt;400,210,IF(L12&gt;250,150,IF(L12&gt;75,60,IF(L12&gt;0,30,0)))))))</f>
        <v>330</v>
      </c>
      <c r="N12" s="148" t="s">
        <v>3</v>
      </c>
    </row>
    <row r="13" spans="1:17">
      <c r="A13" s="161" t="s">
        <v>5</v>
      </c>
      <c r="M13" s="78">
        <v>100</v>
      </c>
      <c r="N13" s="148" t="s">
        <v>3</v>
      </c>
    </row>
    <row r="14" spans="1:17">
      <c r="A14" s="161" t="s">
        <v>80</v>
      </c>
      <c r="M14" s="78">
        <v>100</v>
      </c>
      <c r="N14" s="148" t="s">
        <v>3</v>
      </c>
    </row>
    <row r="15" spans="1:17">
      <c r="A15" s="161" t="s">
        <v>81</v>
      </c>
      <c r="M15" s="78">
        <v>60</v>
      </c>
      <c r="N15" s="148" t="s">
        <v>3</v>
      </c>
    </row>
    <row r="16" spans="1:17">
      <c r="A16" s="164" t="s">
        <v>110</v>
      </c>
      <c r="M16" s="53"/>
      <c r="N16" s="148"/>
    </row>
    <row r="17" spans="1:17" ht="15">
      <c r="A17" s="165"/>
      <c r="B17" s="165"/>
      <c r="C17" s="165"/>
      <c r="D17" s="165"/>
      <c r="E17" s="165"/>
      <c r="J17" s="72"/>
      <c r="L17" s="147" t="s">
        <v>186</v>
      </c>
      <c r="M17" s="146">
        <f>SUM(M11:M16)</f>
        <v>890</v>
      </c>
      <c r="N17" s="149" t="s">
        <v>3</v>
      </c>
    </row>
    <row r="18" spans="1:17">
      <c r="A18" s="163" t="s">
        <v>7</v>
      </c>
      <c r="B18" s="163"/>
      <c r="C18" s="163"/>
      <c r="D18" s="163"/>
      <c r="E18" s="163"/>
      <c r="I18" s="56"/>
      <c r="J18" s="56"/>
      <c r="M18" s="57"/>
      <c r="N18" s="149"/>
    </row>
    <row r="19" spans="1:17">
      <c r="A19" s="163"/>
      <c r="B19" s="163"/>
      <c r="C19" s="163"/>
      <c r="D19" s="163"/>
      <c r="E19" s="163"/>
      <c r="I19" s="56" t="s">
        <v>86</v>
      </c>
      <c r="J19" s="56"/>
      <c r="M19" s="57"/>
      <c r="N19" s="149"/>
    </row>
    <row r="20" spans="1:17">
      <c r="A20" s="165" t="s">
        <v>79</v>
      </c>
      <c r="B20" s="165"/>
      <c r="C20" s="165"/>
      <c r="D20" s="165"/>
      <c r="E20" s="165"/>
      <c r="I20" s="56"/>
      <c r="J20" s="58"/>
      <c r="M20" s="153">
        <v>200</v>
      </c>
      <c r="N20" s="149" t="s">
        <v>173</v>
      </c>
    </row>
    <row r="21" spans="1:17">
      <c r="A21" s="165" t="s">
        <v>2</v>
      </c>
      <c r="B21" s="165"/>
      <c r="C21" s="165"/>
      <c r="D21" s="165"/>
      <c r="E21" s="165"/>
      <c r="I21" s="56"/>
      <c r="J21" s="58"/>
      <c r="M21" s="145">
        <v>100</v>
      </c>
      <c r="N21" s="149" t="s">
        <v>173</v>
      </c>
    </row>
    <row r="22" spans="1:17">
      <c r="A22" s="165"/>
      <c r="B22" s="165"/>
      <c r="C22" s="165"/>
      <c r="D22" s="165"/>
      <c r="E22" s="165"/>
      <c r="I22" s="56"/>
      <c r="J22" s="58"/>
      <c r="M22" s="59"/>
      <c r="N22" s="149"/>
    </row>
    <row r="23" spans="1:17" ht="15">
      <c r="A23" s="165"/>
      <c r="B23" s="165"/>
      <c r="C23" s="165"/>
      <c r="D23" s="165"/>
      <c r="E23" s="165"/>
      <c r="J23" s="72"/>
      <c r="L23" s="147" t="s">
        <v>187</v>
      </c>
      <c r="M23" s="146">
        <f>M20+M21</f>
        <v>300</v>
      </c>
      <c r="N23" s="149" t="s">
        <v>3</v>
      </c>
    </row>
    <row r="24" spans="1:17">
      <c r="A24" s="163" t="s">
        <v>83</v>
      </c>
      <c r="B24" s="163"/>
      <c r="C24" s="163"/>
      <c r="D24" s="163"/>
      <c r="E24" s="163"/>
      <c r="I24" s="56"/>
      <c r="J24" s="56"/>
      <c r="M24" s="57"/>
      <c r="N24" s="149"/>
    </row>
    <row r="25" spans="1:17">
      <c r="A25" s="163"/>
      <c r="B25" s="163"/>
      <c r="C25" s="163"/>
      <c r="D25" s="163"/>
      <c r="E25" s="163"/>
      <c r="I25" s="56"/>
      <c r="J25" s="56"/>
      <c r="M25" s="57"/>
      <c r="N25" s="149"/>
    </row>
    <row r="26" spans="1:17">
      <c r="A26" s="165" t="s">
        <v>84</v>
      </c>
      <c r="B26" s="165"/>
      <c r="C26" s="165"/>
      <c r="D26" s="165"/>
      <c r="E26" s="165"/>
      <c r="J26" s="58"/>
      <c r="M26" s="70">
        <f>+M17*1.5+M20*1.8</f>
        <v>1695</v>
      </c>
      <c r="N26" s="149" t="s">
        <v>3</v>
      </c>
    </row>
    <row r="27" spans="1:17">
      <c r="A27" s="165" t="s">
        <v>11</v>
      </c>
      <c r="B27" s="165"/>
      <c r="C27" s="165"/>
      <c r="D27" s="165"/>
      <c r="E27" s="165"/>
      <c r="J27" s="71">
        <f>+M7-1</f>
        <v>4</v>
      </c>
      <c r="M27" s="70">
        <f>+M26*4</f>
        <v>6780</v>
      </c>
      <c r="N27" s="149" t="s">
        <v>3</v>
      </c>
    </row>
    <row r="28" spans="1:17">
      <c r="A28" s="165" t="s">
        <v>96</v>
      </c>
      <c r="B28" s="165"/>
      <c r="C28" s="165"/>
      <c r="D28" s="165"/>
      <c r="E28" s="165"/>
      <c r="J28" s="71">
        <f>+M7</f>
        <v>5</v>
      </c>
      <c r="M28" s="70">
        <f>+M17*1.5+M21*1.8</f>
        <v>1515</v>
      </c>
      <c r="N28" s="149" t="s">
        <v>3</v>
      </c>
    </row>
    <row r="29" spans="1:17">
      <c r="A29" s="165"/>
      <c r="B29" s="165"/>
      <c r="C29" s="165"/>
      <c r="D29" s="165"/>
      <c r="E29" s="165"/>
      <c r="J29" s="71"/>
      <c r="M29" s="70"/>
      <c r="N29" s="149"/>
    </row>
    <row r="30" spans="1:17" ht="15">
      <c r="A30" s="165" t="s">
        <v>97</v>
      </c>
      <c r="B30" s="165"/>
      <c r="C30" s="165"/>
      <c r="D30" s="165"/>
      <c r="E30" s="165"/>
      <c r="J30" s="72">
        <f>+M7</f>
        <v>5</v>
      </c>
      <c r="L30" s="147" t="s">
        <v>188</v>
      </c>
      <c r="M30" s="146">
        <f>M27+M28</f>
        <v>8295</v>
      </c>
      <c r="N30" s="149" t="s">
        <v>3</v>
      </c>
    </row>
    <row r="31" spans="1:17">
      <c r="A31" s="165"/>
      <c r="B31" s="165"/>
      <c r="C31" s="165"/>
      <c r="D31" s="165"/>
      <c r="E31" s="165"/>
      <c r="J31" s="58"/>
      <c r="M31" s="70"/>
      <c r="N31" s="60"/>
    </row>
    <row r="32" spans="1:17" ht="15.75">
      <c r="A32" s="162" t="s">
        <v>164</v>
      </c>
      <c r="M32" s="120"/>
      <c r="N32" s="159"/>
      <c r="P32" s="114"/>
      <c r="Q32" s="51"/>
    </row>
    <row r="33" spans="1:17">
      <c r="A33" s="165"/>
      <c r="B33" s="165"/>
      <c r="C33" s="165"/>
      <c r="D33" s="165"/>
      <c r="E33" s="165"/>
      <c r="J33" s="58"/>
      <c r="M33" s="70"/>
      <c r="N33" s="60"/>
    </row>
    <row r="34" spans="1:17" ht="25.5" customHeight="1">
      <c r="A34" s="165"/>
      <c r="B34" s="165"/>
      <c r="C34" s="166"/>
      <c r="D34" s="166"/>
      <c r="E34" s="166"/>
      <c r="G34" s="233" t="s">
        <v>184</v>
      </c>
      <c r="H34" s="233"/>
      <c r="I34" s="233"/>
      <c r="J34" s="233"/>
      <c r="K34" s="233"/>
      <c r="L34" s="233"/>
      <c r="M34" s="233"/>
      <c r="N34" s="215" t="s">
        <v>98</v>
      </c>
      <c r="O34" s="216"/>
      <c r="P34" s="46"/>
    </row>
    <row r="35" spans="1:17" ht="27" customHeight="1">
      <c r="A35" s="240" t="s">
        <v>194</v>
      </c>
      <c r="B35" s="241"/>
      <c r="C35" s="242"/>
      <c r="D35" s="168" t="s">
        <v>195</v>
      </c>
      <c r="E35" s="168" t="s">
        <v>200</v>
      </c>
      <c r="F35" s="158" t="s">
        <v>199</v>
      </c>
      <c r="G35" s="158" t="s">
        <v>201</v>
      </c>
      <c r="H35" s="158" t="s">
        <v>202</v>
      </c>
      <c r="I35" s="158" t="s">
        <v>198</v>
      </c>
      <c r="J35" s="158" t="s">
        <v>177</v>
      </c>
      <c r="K35" s="158" t="s">
        <v>197</v>
      </c>
      <c r="L35" s="160" t="s">
        <v>203</v>
      </c>
      <c r="M35" s="157" t="s">
        <v>91</v>
      </c>
      <c r="N35" s="217"/>
      <c r="O35" s="218"/>
      <c r="P35" s="46"/>
    </row>
    <row r="36" spans="1:17" ht="18.75" customHeight="1">
      <c r="A36" s="167" t="s">
        <v>113</v>
      </c>
      <c r="B36" s="170" t="s">
        <v>191</v>
      </c>
      <c r="C36" s="171" t="str">
        <f>+A36</f>
        <v>A</v>
      </c>
      <c r="D36" s="169" t="s">
        <v>120</v>
      </c>
      <c r="E36" s="172">
        <v>1.46</v>
      </c>
      <c r="F36" s="62">
        <v>2.75</v>
      </c>
      <c r="G36" s="111">
        <f>+E36*100/11</f>
        <v>13.272727272727273</v>
      </c>
      <c r="H36" s="111">
        <f>+(E36/(4/SQRT($M$26)))</f>
        <v>15.027187860674395</v>
      </c>
      <c r="I36" s="63">
        <f>F36*100/20</f>
        <v>13.75</v>
      </c>
      <c r="J36" s="134">
        <f>IF(I36&lt;25,25,(INT(ROUND((I36/5),0)+1)*5))</f>
        <v>25</v>
      </c>
      <c r="K36" s="134">
        <f>IF(G36&gt;H36,IF(G36&lt;20,20,(INT(G36/5)+1)*5),IF(H36&lt;20,20,(INT(H36/5)+1)*5))</f>
        <v>20</v>
      </c>
      <c r="L36" s="63">
        <f t="shared" ref="L36:L60" si="0">+J36*K36</f>
        <v>500</v>
      </c>
      <c r="M36" s="76" t="str">
        <f t="shared" ref="M36:M64" si="1">IF(L36&lt;I36,"VERIFICAR",IF(J36/K36&lt;0.4,"REDIMENSIONAR","OK !!!"))</f>
        <v>OK !!!</v>
      </c>
      <c r="N36" s="130" t="str">
        <f>CONCATENATE(J36,"x",K36)</f>
        <v>25x20</v>
      </c>
      <c r="O36" s="142" t="s">
        <v>204</v>
      </c>
      <c r="P36" s="46"/>
      <c r="Q36" s="63" t="str">
        <f>IF(L36="P",N36*100/20,IF(L36="S",15,"TIPO"))</f>
        <v>TIPO</v>
      </c>
    </row>
    <row r="37" spans="1:17" ht="18.75" customHeight="1">
      <c r="A37" s="167" t="s">
        <v>113</v>
      </c>
      <c r="B37" s="170" t="s">
        <v>191</v>
      </c>
      <c r="C37" s="171" t="str">
        <f t="shared" ref="C37:C38" si="2">+A37</f>
        <v>A</v>
      </c>
      <c r="D37" s="169" t="s">
        <v>196</v>
      </c>
      <c r="E37" s="172">
        <v>1.66</v>
      </c>
      <c r="F37" s="62">
        <f>5.36/2</f>
        <v>2.68</v>
      </c>
      <c r="G37" s="111">
        <f t="shared" ref="G37:G64" si="3">+E37*100/11</f>
        <v>15.090909090909092</v>
      </c>
      <c r="H37" s="111">
        <f t="shared" ref="H37:H64" si="4">+(E37/(4/SQRT($M$26)))</f>
        <v>17.085706745698285</v>
      </c>
      <c r="I37" s="63">
        <f t="shared" ref="I37:I64" si="5">F37*100/20</f>
        <v>13.4</v>
      </c>
      <c r="J37" s="134">
        <f t="shared" ref="J37:J64" si="6">IF(I37&lt;25,25,(INT(ROUND((I37/5),0)+1)*5))</f>
        <v>25</v>
      </c>
      <c r="K37" s="134">
        <f t="shared" ref="K37:K64" si="7">IF(G37&gt;H37,IF(G37&lt;20,20,(INT(G37/5)+1)*5),IF(H37&lt;20,20,(INT(H37/5)+1)*5))</f>
        <v>20</v>
      </c>
      <c r="L37" s="63">
        <f t="shared" ref="L37:L38" si="8">+J37*K37</f>
        <v>500</v>
      </c>
      <c r="M37" s="76" t="str">
        <f t="shared" si="1"/>
        <v>OK !!!</v>
      </c>
      <c r="N37" s="130" t="str">
        <f t="shared" ref="N37:N38" si="9">CONCATENATE(J37,"x",K37)</f>
        <v>25x20</v>
      </c>
      <c r="O37" s="142" t="s">
        <v>205</v>
      </c>
      <c r="P37" s="46"/>
    </row>
    <row r="38" spans="1:17" ht="18.75" customHeight="1">
      <c r="A38" s="167" t="s">
        <v>113</v>
      </c>
      <c r="B38" s="170" t="s">
        <v>191</v>
      </c>
      <c r="C38" s="171" t="str">
        <f t="shared" si="2"/>
        <v>A</v>
      </c>
      <c r="D38" s="169" t="s">
        <v>196</v>
      </c>
      <c r="E38" s="172">
        <v>4.22</v>
      </c>
      <c r="F38" s="62">
        <f>+(5.36+4.6)/4</f>
        <v>2.4900000000000002</v>
      </c>
      <c r="G38" s="111">
        <f t="shared" si="3"/>
        <v>38.363636363636367</v>
      </c>
      <c r="H38" s="111">
        <f t="shared" si="4"/>
        <v>43.434748474004074</v>
      </c>
      <c r="I38" s="63">
        <f t="shared" si="5"/>
        <v>12.450000000000001</v>
      </c>
      <c r="J38" s="134">
        <f t="shared" si="6"/>
        <v>25</v>
      </c>
      <c r="K38" s="134">
        <f t="shared" si="7"/>
        <v>45</v>
      </c>
      <c r="L38" s="63">
        <f t="shared" si="8"/>
        <v>1125</v>
      </c>
      <c r="M38" s="76" t="str">
        <f t="shared" si="1"/>
        <v>OK !!!</v>
      </c>
      <c r="N38" s="130" t="str">
        <f t="shared" si="9"/>
        <v>25x45</v>
      </c>
      <c r="O38" s="142" t="s">
        <v>205</v>
      </c>
      <c r="P38" s="46"/>
    </row>
    <row r="39" spans="1:17" ht="18.75" customHeight="1">
      <c r="A39" s="167" t="s">
        <v>114</v>
      </c>
      <c r="B39" s="170" t="str">
        <f>+B36</f>
        <v>-</v>
      </c>
      <c r="C39" s="171" t="str">
        <f t="shared" ref="C39:C60" si="10">+A39</f>
        <v>B</v>
      </c>
      <c r="D39" s="169" t="s">
        <v>120</v>
      </c>
      <c r="E39" s="172">
        <v>1.45</v>
      </c>
      <c r="F39" s="62">
        <f>4.91/2</f>
        <v>2.4550000000000001</v>
      </c>
      <c r="G39" s="111">
        <f t="shared" si="3"/>
        <v>13.181818181818182</v>
      </c>
      <c r="H39" s="111">
        <f t="shared" si="4"/>
        <v>14.924261916423202</v>
      </c>
      <c r="I39" s="63">
        <f t="shared" si="5"/>
        <v>12.275</v>
      </c>
      <c r="J39" s="134">
        <f t="shared" si="6"/>
        <v>25</v>
      </c>
      <c r="K39" s="134">
        <f t="shared" si="7"/>
        <v>20</v>
      </c>
      <c r="L39" s="63">
        <f t="shared" si="0"/>
        <v>500</v>
      </c>
      <c r="M39" s="76" t="str">
        <f t="shared" si="1"/>
        <v>OK !!!</v>
      </c>
      <c r="N39" s="130" t="str">
        <f t="shared" ref="N39:N60" si="11">CONCATENATE(J39,"x",K39)</f>
        <v>25x20</v>
      </c>
      <c r="O39" s="142" t="s">
        <v>204</v>
      </c>
      <c r="P39" s="46"/>
    </row>
    <row r="40" spans="1:17" ht="18.75" customHeight="1">
      <c r="A40" s="167" t="s">
        <v>114</v>
      </c>
      <c r="B40" s="170" t="str">
        <f>+B37</f>
        <v>-</v>
      </c>
      <c r="C40" s="171" t="str">
        <f t="shared" ref="C40" si="12">+A40</f>
        <v>B</v>
      </c>
      <c r="D40" s="169" t="s">
        <v>196</v>
      </c>
      <c r="E40" s="172">
        <v>5.65</v>
      </c>
      <c r="F40" s="62">
        <f>4.6/2+4.91/2</f>
        <v>4.7549999999999999</v>
      </c>
      <c r="G40" s="111">
        <f t="shared" si="3"/>
        <v>51.363636363636367</v>
      </c>
      <c r="H40" s="111">
        <f t="shared" si="4"/>
        <v>58.153158501924892</v>
      </c>
      <c r="I40" s="63">
        <f t="shared" si="5"/>
        <v>23.774999999999999</v>
      </c>
      <c r="J40" s="134">
        <f t="shared" si="6"/>
        <v>25</v>
      </c>
      <c r="K40" s="134">
        <f t="shared" si="7"/>
        <v>60</v>
      </c>
      <c r="L40" s="63">
        <f t="shared" ref="L40" si="13">+J40*K40</f>
        <v>1500</v>
      </c>
      <c r="M40" s="76" t="str">
        <f t="shared" si="1"/>
        <v>OK !!!</v>
      </c>
      <c r="N40" s="130" t="str">
        <f t="shared" ref="N40" si="14">CONCATENATE(J40,"x",K40)</f>
        <v>25x60</v>
      </c>
      <c r="O40" s="142" t="s">
        <v>205</v>
      </c>
      <c r="P40" s="46"/>
    </row>
    <row r="41" spans="1:17" ht="18.75" customHeight="1">
      <c r="A41" s="167" t="s">
        <v>115</v>
      </c>
      <c r="B41" s="170" t="str">
        <f>+B39</f>
        <v>-</v>
      </c>
      <c r="C41" s="171" t="str">
        <f t="shared" si="10"/>
        <v>C</v>
      </c>
      <c r="D41" s="169" t="s">
        <v>120</v>
      </c>
      <c r="E41" s="172">
        <v>1.32</v>
      </c>
      <c r="F41" s="62">
        <f>4.91/2+4.51/2</f>
        <v>4.71</v>
      </c>
      <c r="G41" s="111">
        <f t="shared" si="3"/>
        <v>12</v>
      </c>
      <c r="H41" s="111">
        <f t="shared" si="4"/>
        <v>13.586224641157674</v>
      </c>
      <c r="I41" s="63">
        <f t="shared" si="5"/>
        <v>23.55</v>
      </c>
      <c r="J41" s="134">
        <f t="shared" si="6"/>
        <v>25</v>
      </c>
      <c r="K41" s="134">
        <f t="shared" si="7"/>
        <v>20</v>
      </c>
      <c r="L41" s="63">
        <f t="shared" si="0"/>
        <v>500</v>
      </c>
      <c r="M41" s="76" t="str">
        <f t="shared" si="1"/>
        <v>OK !!!</v>
      </c>
      <c r="N41" s="130" t="str">
        <f t="shared" si="11"/>
        <v>25x20</v>
      </c>
      <c r="O41" s="142" t="s">
        <v>204</v>
      </c>
      <c r="P41" s="46"/>
    </row>
    <row r="42" spans="1:17" ht="18.75" customHeight="1">
      <c r="A42" s="167" t="s">
        <v>115</v>
      </c>
      <c r="B42" s="170" t="str">
        <f t="shared" ref="B42:B43" si="15">+B40</f>
        <v>-</v>
      </c>
      <c r="C42" s="171" t="str">
        <f t="shared" ref="C42:C43" si="16">+A42</f>
        <v>C</v>
      </c>
      <c r="D42" s="169" t="s">
        <v>196</v>
      </c>
      <c r="E42" s="172">
        <v>1.65</v>
      </c>
      <c r="F42" s="62">
        <f>4.91/2+4.51/2</f>
        <v>4.71</v>
      </c>
      <c r="G42" s="111">
        <f t="shared" si="3"/>
        <v>15</v>
      </c>
      <c r="H42" s="111">
        <f t="shared" si="4"/>
        <v>16.982780801447092</v>
      </c>
      <c r="I42" s="63">
        <f t="shared" si="5"/>
        <v>23.55</v>
      </c>
      <c r="J42" s="134">
        <f t="shared" si="6"/>
        <v>25</v>
      </c>
      <c r="K42" s="134">
        <f t="shared" si="7"/>
        <v>20</v>
      </c>
      <c r="L42" s="63">
        <f t="shared" ref="L42:L43" si="17">+J42*K42</f>
        <v>500</v>
      </c>
      <c r="M42" s="76" t="str">
        <f t="shared" si="1"/>
        <v>OK !!!</v>
      </c>
      <c r="N42" s="130" t="str">
        <f t="shared" ref="N42:N43" si="18">CONCATENATE(J42,"x",K42)</f>
        <v>25x20</v>
      </c>
      <c r="O42" s="142" t="s">
        <v>204</v>
      </c>
      <c r="P42" s="46"/>
    </row>
    <row r="43" spans="1:17" ht="18.75" customHeight="1">
      <c r="A43" s="167" t="s">
        <v>115</v>
      </c>
      <c r="B43" s="170" t="str">
        <f t="shared" si="15"/>
        <v>-</v>
      </c>
      <c r="C43" s="171" t="str">
        <f t="shared" si="16"/>
        <v>C</v>
      </c>
      <c r="D43" s="169" t="s">
        <v>196</v>
      </c>
      <c r="E43" s="172">
        <v>3.81</v>
      </c>
      <c r="F43" s="62">
        <f>4.91/2+4.51/2</f>
        <v>4.71</v>
      </c>
      <c r="G43" s="111">
        <f t="shared" si="3"/>
        <v>34.636363636363633</v>
      </c>
      <c r="H43" s="111">
        <f t="shared" si="4"/>
        <v>39.214784759705104</v>
      </c>
      <c r="I43" s="63">
        <f t="shared" si="5"/>
        <v>23.55</v>
      </c>
      <c r="J43" s="134">
        <f t="shared" si="6"/>
        <v>25</v>
      </c>
      <c r="K43" s="134">
        <f t="shared" si="7"/>
        <v>40</v>
      </c>
      <c r="L43" s="63">
        <f t="shared" si="17"/>
        <v>1000</v>
      </c>
      <c r="M43" s="76" t="str">
        <f t="shared" si="1"/>
        <v>OK !!!</v>
      </c>
      <c r="N43" s="130" t="str">
        <f t="shared" si="18"/>
        <v>25x40</v>
      </c>
      <c r="O43" s="142" t="s">
        <v>206</v>
      </c>
      <c r="P43" s="46"/>
    </row>
    <row r="44" spans="1:17" ht="18.75" customHeight="1">
      <c r="A44" s="167" t="s">
        <v>116</v>
      </c>
      <c r="B44" s="170" t="str">
        <f>+B41</f>
        <v>-</v>
      </c>
      <c r="C44" s="171" t="str">
        <f t="shared" si="10"/>
        <v>D</v>
      </c>
      <c r="D44" s="169" t="s">
        <v>196</v>
      </c>
      <c r="E44" s="172">
        <v>3.1</v>
      </c>
      <c r="F44" s="62">
        <f>4.51/2</f>
        <v>2.2549999999999999</v>
      </c>
      <c r="G44" s="111">
        <f t="shared" si="3"/>
        <v>28.181818181818183</v>
      </c>
      <c r="H44" s="111">
        <f t="shared" si="4"/>
        <v>31.907042717870294</v>
      </c>
      <c r="I44" s="63">
        <f t="shared" si="5"/>
        <v>11.275</v>
      </c>
      <c r="J44" s="134">
        <f t="shared" si="6"/>
        <v>25</v>
      </c>
      <c r="K44" s="134">
        <f t="shared" si="7"/>
        <v>35</v>
      </c>
      <c r="L44" s="63">
        <f t="shared" si="0"/>
        <v>875</v>
      </c>
      <c r="M44" s="76" t="str">
        <f t="shared" si="1"/>
        <v>OK !!!</v>
      </c>
      <c r="N44" s="130" t="str">
        <f t="shared" si="11"/>
        <v>25x35</v>
      </c>
      <c r="O44" s="142" t="s">
        <v>206</v>
      </c>
      <c r="P44" s="46"/>
    </row>
    <row r="45" spans="1:17" ht="18.75" customHeight="1">
      <c r="A45" s="167" t="s">
        <v>116</v>
      </c>
      <c r="B45" s="170" t="str">
        <f>+B42</f>
        <v>-</v>
      </c>
      <c r="C45" s="171" t="str">
        <f t="shared" ref="C45" si="19">+A45</f>
        <v>D</v>
      </c>
      <c r="D45" s="169" t="s">
        <v>196</v>
      </c>
      <c r="E45" s="172">
        <v>3.64</v>
      </c>
      <c r="F45" s="62">
        <f>4.51/2+2.45/2</f>
        <v>3.48</v>
      </c>
      <c r="G45" s="111">
        <f t="shared" si="3"/>
        <v>33.090909090909093</v>
      </c>
      <c r="H45" s="111">
        <f t="shared" si="4"/>
        <v>37.465043707434795</v>
      </c>
      <c r="I45" s="63">
        <f t="shared" si="5"/>
        <v>17.399999999999999</v>
      </c>
      <c r="J45" s="134">
        <f t="shared" si="6"/>
        <v>25</v>
      </c>
      <c r="K45" s="134">
        <f t="shared" si="7"/>
        <v>40</v>
      </c>
      <c r="L45" s="63">
        <f t="shared" ref="L45" si="20">+J45*K45</f>
        <v>1000</v>
      </c>
      <c r="M45" s="76" t="str">
        <f t="shared" si="1"/>
        <v>OK !!!</v>
      </c>
      <c r="N45" s="130" t="str">
        <f t="shared" ref="N45" si="21">CONCATENATE(J45,"x",K45)</f>
        <v>25x40</v>
      </c>
      <c r="O45" s="142" t="s">
        <v>206</v>
      </c>
      <c r="P45" s="46"/>
    </row>
    <row r="46" spans="1:17" ht="18.75" customHeight="1">
      <c r="A46" s="167" t="s">
        <v>192</v>
      </c>
      <c r="B46" s="170" t="str">
        <f>+B44</f>
        <v>-</v>
      </c>
      <c r="C46" s="171" t="str">
        <f t="shared" si="10"/>
        <v>E</v>
      </c>
      <c r="D46" s="169" t="s">
        <v>196</v>
      </c>
      <c r="E46" s="172">
        <v>3.1</v>
      </c>
      <c r="F46" s="62">
        <f>3.67/2</f>
        <v>1.835</v>
      </c>
      <c r="G46" s="111">
        <f t="shared" si="3"/>
        <v>28.181818181818183</v>
      </c>
      <c r="H46" s="111">
        <f t="shared" si="4"/>
        <v>31.907042717870294</v>
      </c>
      <c r="I46" s="63">
        <f t="shared" si="5"/>
        <v>9.1750000000000007</v>
      </c>
      <c r="J46" s="134">
        <f t="shared" si="6"/>
        <v>25</v>
      </c>
      <c r="K46" s="134">
        <f t="shared" si="7"/>
        <v>35</v>
      </c>
      <c r="L46" s="63">
        <f t="shared" si="0"/>
        <v>875</v>
      </c>
      <c r="M46" s="76" t="str">
        <f t="shared" si="1"/>
        <v>OK !!!</v>
      </c>
      <c r="N46" s="130" t="str">
        <f t="shared" si="11"/>
        <v>25x35</v>
      </c>
      <c r="O46" s="142" t="s">
        <v>206</v>
      </c>
      <c r="P46" s="46"/>
    </row>
    <row r="47" spans="1:17" ht="18.75" customHeight="1">
      <c r="A47" s="167" t="s">
        <v>192</v>
      </c>
      <c r="B47" s="170" t="str">
        <f>+B45</f>
        <v>-</v>
      </c>
      <c r="C47" s="171" t="str">
        <f t="shared" ref="C47" si="22">+A47</f>
        <v>E</v>
      </c>
      <c r="D47" s="169" t="s">
        <v>196</v>
      </c>
      <c r="E47" s="172">
        <v>3.54</v>
      </c>
      <c r="F47" s="62">
        <f>2.45/2+3.67/2</f>
        <v>3.06</v>
      </c>
      <c r="G47" s="111">
        <f t="shared" si="3"/>
        <v>32.18181818181818</v>
      </c>
      <c r="H47" s="111">
        <f t="shared" si="4"/>
        <v>36.435784264922852</v>
      </c>
      <c r="I47" s="63">
        <f t="shared" si="5"/>
        <v>15.3</v>
      </c>
      <c r="J47" s="134">
        <f t="shared" si="6"/>
        <v>25</v>
      </c>
      <c r="K47" s="134">
        <f t="shared" si="7"/>
        <v>40</v>
      </c>
      <c r="L47" s="63">
        <f t="shared" ref="L47" si="23">+J47*K47</f>
        <v>1000</v>
      </c>
      <c r="M47" s="76" t="str">
        <f t="shared" si="1"/>
        <v>OK !!!</v>
      </c>
      <c r="N47" s="130" t="str">
        <f t="shared" ref="N47" si="24">CONCATENATE(J47,"x",K47)</f>
        <v>25x40</v>
      </c>
      <c r="O47" s="142" t="s">
        <v>206</v>
      </c>
      <c r="P47" s="46"/>
    </row>
    <row r="48" spans="1:17" ht="18.75" customHeight="1">
      <c r="A48" s="167" t="s">
        <v>193</v>
      </c>
      <c r="B48" s="170" t="str">
        <f>+B46</f>
        <v>-</v>
      </c>
      <c r="C48" s="171" t="str">
        <f t="shared" si="10"/>
        <v>F</v>
      </c>
      <c r="D48" s="169" t="s">
        <v>196</v>
      </c>
      <c r="E48" s="172">
        <v>3.1</v>
      </c>
      <c r="F48" s="62">
        <f>3.67/2</f>
        <v>1.835</v>
      </c>
      <c r="G48" s="111">
        <f t="shared" si="3"/>
        <v>28.181818181818183</v>
      </c>
      <c r="H48" s="111">
        <f t="shared" si="4"/>
        <v>31.907042717870294</v>
      </c>
      <c r="I48" s="63">
        <f t="shared" si="5"/>
        <v>9.1750000000000007</v>
      </c>
      <c r="J48" s="134">
        <f t="shared" si="6"/>
        <v>25</v>
      </c>
      <c r="K48" s="134">
        <f t="shared" si="7"/>
        <v>35</v>
      </c>
      <c r="L48" s="63">
        <f t="shared" si="0"/>
        <v>875</v>
      </c>
      <c r="M48" s="76" t="str">
        <f t="shared" si="1"/>
        <v>OK !!!</v>
      </c>
      <c r="N48" s="130" t="str">
        <f t="shared" si="11"/>
        <v>25x35</v>
      </c>
      <c r="O48" s="142" t="s">
        <v>206</v>
      </c>
      <c r="P48" s="46"/>
    </row>
    <row r="49" spans="1:16" ht="18.75" customHeight="1">
      <c r="A49" s="167" t="s">
        <v>193</v>
      </c>
      <c r="B49" s="170" t="str">
        <f>+B47</f>
        <v>-</v>
      </c>
      <c r="C49" s="171" t="str">
        <f t="shared" ref="C49" si="25">+A49</f>
        <v>F</v>
      </c>
      <c r="D49" s="169" t="s">
        <v>196</v>
      </c>
      <c r="E49" s="172">
        <v>3.4</v>
      </c>
      <c r="F49" s="62">
        <f>3.67/2</f>
        <v>1.835</v>
      </c>
      <c r="G49" s="111">
        <f t="shared" si="3"/>
        <v>30.90909090909091</v>
      </c>
      <c r="H49" s="111">
        <f t="shared" si="4"/>
        <v>34.994821045406127</v>
      </c>
      <c r="I49" s="63">
        <f t="shared" si="5"/>
        <v>9.1750000000000007</v>
      </c>
      <c r="J49" s="134">
        <f t="shared" si="6"/>
        <v>25</v>
      </c>
      <c r="K49" s="134">
        <f t="shared" si="7"/>
        <v>35</v>
      </c>
      <c r="L49" s="63">
        <f t="shared" ref="L49" si="26">+J49*K49</f>
        <v>875</v>
      </c>
      <c r="M49" s="76" t="str">
        <f t="shared" si="1"/>
        <v>OK !!!</v>
      </c>
      <c r="N49" s="130" t="str">
        <f t="shared" ref="N49" si="27">CONCATENATE(J49,"x",K49)</f>
        <v>25x35</v>
      </c>
      <c r="O49" s="142" t="s">
        <v>206</v>
      </c>
      <c r="P49" s="46"/>
    </row>
    <row r="50" spans="1:16" ht="18.75" customHeight="1">
      <c r="A50" s="167">
        <v>1</v>
      </c>
      <c r="B50" s="170" t="str">
        <f>+B48</f>
        <v>-</v>
      </c>
      <c r="C50" s="171">
        <f t="shared" si="10"/>
        <v>1</v>
      </c>
      <c r="D50" s="169" t="s">
        <v>196</v>
      </c>
      <c r="E50" s="172">
        <v>5.56</v>
      </c>
      <c r="F50" s="62">
        <f>1.45/2</f>
        <v>0.72499999999999998</v>
      </c>
      <c r="G50" s="111">
        <f t="shared" si="3"/>
        <v>50.545454545454547</v>
      </c>
      <c r="H50" s="111">
        <f t="shared" si="4"/>
        <v>57.226825003664132</v>
      </c>
      <c r="I50" s="63">
        <f t="shared" si="5"/>
        <v>3.625</v>
      </c>
      <c r="J50" s="134">
        <f t="shared" si="6"/>
        <v>25</v>
      </c>
      <c r="K50" s="134">
        <f t="shared" si="7"/>
        <v>60</v>
      </c>
      <c r="L50" s="63">
        <f t="shared" si="0"/>
        <v>1500</v>
      </c>
      <c r="M50" s="76" t="str">
        <f t="shared" si="1"/>
        <v>OK !!!</v>
      </c>
      <c r="N50" s="130" t="str">
        <f t="shared" si="11"/>
        <v>25x60</v>
      </c>
      <c r="O50" s="142" t="s">
        <v>205</v>
      </c>
      <c r="P50" s="46"/>
    </row>
    <row r="51" spans="1:16" ht="18.75" customHeight="1">
      <c r="A51" s="167">
        <v>1</v>
      </c>
      <c r="B51" s="170" t="str">
        <f t="shared" ref="B51:B54" si="28">+B49</f>
        <v>-</v>
      </c>
      <c r="C51" s="171">
        <f t="shared" ref="C51:C54" si="29">+A51</f>
        <v>1</v>
      </c>
      <c r="D51" s="169" t="s">
        <v>196</v>
      </c>
      <c r="E51" s="172">
        <v>4.91</v>
      </c>
      <c r="F51" s="62">
        <f>1.45/2</f>
        <v>0.72499999999999998</v>
      </c>
      <c r="G51" s="111">
        <f t="shared" si="3"/>
        <v>44.636363636363633</v>
      </c>
      <c r="H51" s="111">
        <f t="shared" si="4"/>
        <v>50.536638627336501</v>
      </c>
      <c r="I51" s="63">
        <f t="shared" si="5"/>
        <v>3.625</v>
      </c>
      <c r="J51" s="134">
        <f t="shared" si="6"/>
        <v>25</v>
      </c>
      <c r="K51" s="134">
        <f t="shared" si="7"/>
        <v>55</v>
      </c>
      <c r="L51" s="63">
        <f t="shared" ref="L51:L54" si="30">+J51*K51</f>
        <v>1375</v>
      </c>
      <c r="M51" s="76" t="str">
        <f t="shared" si="1"/>
        <v>OK !!!</v>
      </c>
      <c r="N51" s="130" t="str">
        <f t="shared" ref="N51:N54" si="31">CONCATENATE(J51,"x",K51)</f>
        <v>25x55</v>
      </c>
      <c r="O51" s="142" t="s">
        <v>205</v>
      </c>
      <c r="P51" s="46"/>
    </row>
    <row r="52" spans="1:16" ht="18.75" customHeight="1">
      <c r="A52" s="167">
        <v>1</v>
      </c>
      <c r="B52" s="170" t="str">
        <f t="shared" si="28"/>
        <v>-</v>
      </c>
      <c r="C52" s="171">
        <f t="shared" si="29"/>
        <v>1</v>
      </c>
      <c r="D52" s="169" t="s">
        <v>196</v>
      </c>
      <c r="E52" s="172">
        <v>4.51</v>
      </c>
      <c r="F52" s="62">
        <f>3.1/2</f>
        <v>1.55</v>
      </c>
      <c r="G52" s="111">
        <f t="shared" si="3"/>
        <v>41</v>
      </c>
      <c r="H52" s="111">
        <f t="shared" si="4"/>
        <v>46.419600857288714</v>
      </c>
      <c r="I52" s="63">
        <f t="shared" si="5"/>
        <v>7.75</v>
      </c>
      <c r="J52" s="134">
        <f t="shared" si="6"/>
        <v>25</v>
      </c>
      <c r="K52" s="134">
        <f t="shared" si="7"/>
        <v>50</v>
      </c>
      <c r="L52" s="63">
        <f t="shared" si="30"/>
        <v>1250</v>
      </c>
      <c r="M52" s="76" t="str">
        <f t="shared" si="1"/>
        <v>OK !!!</v>
      </c>
      <c r="N52" s="130" t="str">
        <f t="shared" si="31"/>
        <v>25x50</v>
      </c>
      <c r="O52" s="142" t="s">
        <v>205</v>
      </c>
      <c r="P52" s="46"/>
    </row>
    <row r="53" spans="1:16" ht="18.75" customHeight="1">
      <c r="A53" s="167">
        <v>1</v>
      </c>
      <c r="B53" s="170" t="str">
        <f t="shared" si="28"/>
        <v>-</v>
      </c>
      <c r="C53" s="171">
        <f t="shared" si="29"/>
        <v>1</v>
      </c>
      <c r="D53" s="169" t="s">
        <v>120</v>
      </c>
      <c r="E53" s="172">
        <v>2.4500000000000002</v>
      </c>
      <c r="F53" s="62">
        <v>0</v>
      </c>
      <c r="G53" s="111">
        <f t="shared" si="3"/>
        <v>22.272727272727277</v>
      </c>
      <c r="H53" s="111">
        <f t="shared" si="4"/>
        <v>25.216856341542652</v>
      </c>
      <c r="I53" s="63">
        <f t="shared" si="5"/>
        <v>0</v>
      </c>
      <c r="J53" s="134">
        <f t="shared" si="6"/>
        <v>25</v>
      </c>
      <c r="K53" s="134">
        <f t="shared" si="7"/>
        <v>30</v>
      </c>
      <c r="L53" s="63">
        <f t="shared" si="30"/>
        <v>750</v>
      </c>
      <c r="M53" s="76" t="str">
        <f t="shared" si="1"/>
        <v>OK !!!</v>
      </c>
      <c r="N53" s="130" t="str">
        <f t="shared" si="31"/>
        <v>25x30</v>
      </c>
      <c r="O53" s="142" t="s">
        <v>206</v>
      </c>
      <c r="P53" s="46"/>
    </row>
    <row r="54" spans="1:16" ht="18.75" customHeight="1">
      <c r="A54" s="167">
        <v>1</v>
      </c>
      <c r="B54" s="170" t="str">
        <f t="shared" si="28"/>
        <v>-</v>
      </c>
      <c r="C54" s="171">
        <f t="shared" si="29"/>
        <v>1</v>
      </c>
      <c r="D54" s="169" t="s">
        <v>196</v>
      </c>
      <c r="E54" s="172">
        <v>3.67</v>
      </c>
      <c r="F54" s="62">
        <f>3.1/2</f>
        <v>1.55</v>
      </c>
      <c r="G54" s="111">
        <f t="shared" si="3"/>
        <v>33.363636363636367</v>
      </c>
      <c r="H54" s="111">
        <f t="shared" si="4"/>
        <v>37.773821540188379</v>
      </c>
      <c r="I54" s="63">
        <f t="shared" si="5"/>
        <v>7.75</v>
      </c>
      <c r="J54" s="134">
        <f t="shared" si="6"/>
        <v>25</v>
      </c>
      <c r="K54" s="134">
        <f t="shared" si="7"/>
        <v>40</v>
      </c>
      <c r="L54" s="63">
        <f t="shared" si="30"/>
        <v>1000</v>
      </c>
      <c r="M54" s="76" t="str">
        <f t="shared" si="1"/>
        <v>OK !!!</v>
      </c>
      <c r="N54" s="130" t="str">
        <f t="shared" si="31"/>
        <v>25x40</v>
      </c>
      <c r="O54" s="142" t="s">
        <v>206</v>
      </c>
      <c r="P54" s="46"/>
    </row>
    <row r="55" spans="1:16" ht="18.75" customHeight="1">
      <c r="A55" s="167">
        <v>2</v>
      </c>
      <c r="B55" s="170" t="str">
        <f>+B50</f>
        <v>-</v>
      </c>
      <c r="C55" s="171">
        <f t="shared" si="10"/>
        <v>2</v>
      </c>
      <c r="D55" s="169" t="s">
        <v>196</v>
      </c>
      <c r="E55" s="172">
        <v>5.36</v>
      </c>
      <c r="F55" s="62">
        <f>1.45/2+5.65/2</f>
        <v>3.5500000000000003</v>
      </c>
      <c r="G55" s="111">
        <f t="shared" si="3"/>
        <v>48.727272727272727</v>
      </c>
      <c r="H55" s="111">
        <f t="shared" si="4"/>
        <v>55.168306118640253</v>
      </c>
      <c r="I55" s="63">
        <f t="shared" si="5"/>
        <v>17.75</v>
      </c>
      <c r="J55" s="134">
        <f t="shared" si="6"/>
        <v>25</v>
      </c>
      <c r="K55" s="134">
        <f t="shared" si="7"/>
        <v>60</v>
      </c>
      <c r="L55" s="63">
        <f t="shared" si="0"/>
        <v>1500</v>
      </c>
      <c r="M55" s="76" t="str">
        <f t="shared" si="1"/>
        <v>OK !!!</v>
      </c>
      <c r="N55" s="130" t="str">
        <f t="shared" si="11"/>
        <v>25x60</v>
      </c>
      <c r="O55" s="142" t="s">
        <v>205</v>
      </c>
      <c r="P55" s="46"/>
    </row>
    <row r="56" spans="1:16" ht="18.75" customHeight="1">
      <c r="A56" s="167">
        <v>2</v>
      </c>
      <c r="B56" s="170" t="str">
        <f>+B51</f>
        <v>-</v>
      </c>
      <c r="C56" s="171">
        <f t="shared" ref="C56" si="32">+A56</f>
        <v>2</v>
      </c>
      <c r="D56" s="169" t="s">
        <v>196</v>
      </c>
      <c r="E56" s="172">
        <v>4.91</v>
      </c>
      <c r="F56" s="62">
        <f>1.45/2+5.65/2</f>
        <v>3.5500000000000003</v>
      </c>
      <c r="G56" s="111">
        <f t="shared" si="3"/>
        <v>44.636363636363633</v>
      </c>
      <c r="H56" s="111">
        <f t="shared" si="4"/>
        <v>50.536638627336501</v>
      </c>
      <c r="I56" s="63">
        <f t="shared" si="5"/>
        <v>17.75</v>
      </c>
      <c r="J56" s="134">
        <f t="shared" si="6"/>
        <v>25</v>
      </c>
      <c r="K56" s="134">
        <f t="shared" si="7"/>
        <v>55</v>
      </c>
      <c r="L56" s="63">
        <f t="shared" ref="L56" si="33">+J56*K56</f>
        <v>1375</v>
      </c>
      <c r="M56" s="76" t="str">
        <f t="shared" si="1"/>
        <v>OK !!!</v>
      </c>
      <c r="N56" s="130" t="str">
        <f t="shared" ref="N56" si="34">CONCATENATE(J56,"x",K56)</f>
        <v>25x55</v>
      </c>
      <c r="O56" s="142" t="s">
        <v>205</v>
      </c>
      <c r="P56" s="46"/>
    </row>
    <row r="57" spans="1:16" ht="18.75" customHeight="1">
      <c r="A57" s="167">
        <v>3</v>
      </c>
      <c r="B57" s="170" t="str">
        <f>+B52</f>
        <v>-</v>
      </c>
      <c r="C57" s="171">
        <f t="shared" ref="C57" si="35">+A57</f>
        <v>3</v>
      </c>
      <c r="D57" s="169" t="s">
        <v>196</v>
      </c>
      <c r="E57" s="172">
        <v>4.51</v>
      </c>
      <c r="F57" s="62">
        <f>3.81/2+3.1/2</f>
        <v>3.4550000000000001</v>
      </c>
      <c r="G57" s="111">
        <f t="shared" si="3"/>
        <v>41</v>
      </c>
      <c r="H57" s="111">
        <f t="shared" si="4"/>
        <v>46.419600857288714</v>
      </c>
      <c r="I57" s="63">
        <f t="shared" si="5"/>
        <v>17.274999999999999</v>
      </c>
      <c r="J57" s="134">
        <f t="shared" si="6"/>
        <v>25</v>
      </c>
      <c r="K57" s="134">
        <f t="shared" si="7"/>
        <v>50</v>
      </c>
      <c r="L57" s="63">
        <f t="shared" ref="L57" si="36">+J57*K57</f>
        <v>1250</v>
      </c>
      <c r="M57" s="76" t="str">
        <f t="shared" si="1"/>
        <v>OK !!!</v>
      </c>
      <c r="N57" s="130" t="str">
        <f t="shared" ref="N57" si="37">CONCATENATE(J57,"x",K57)</f>
        <v>25x50</v>
      </c>
      <c r="O57" s="142" t="s">
        <v>205</v>
      </c>
      <c r="P57" s="46"/>
    </row>
    <row r="58" spans="1:16" ht="18.75" customHeight="1">
      <c r="A58" s="167">
        <v>3</v>
      </c>
      <c r="B58" s="170" t="str">
        <f>+B55</f>
        <v>-</v>
      </c>
      <c r="C58" s="171">
        <f t="shared" si="10"/>
        <v>3</v>
      </c>
      <c r="D58" s="169" t="s">
        <v>120</v>
      </c>
      <c r="E58" s="172">
        <v>2.4500000000000002</v>
      </c>
      <c r="F58" s="62">
        <f>3.64/2+3.1/2</f>
        <v>3.37</v>
      </c>
      <c r="G58" s="111">
        <f t="shared" si="3"/>
        <v>22.272727272727277</v>
      </c>
      <c r="H58" s="111">
        <f t="shared" si="4"/>
        <v>25.216856341542652</v>
      </c>
      <c r="I58" s="63">
        <f t="shared" si="5"/>
        <v>16.850000000000001</v>
      </c>
      <c r="J58" s="134">
        <f t="shared" si="6"/>
        <v>25</v>
      </c>
      <c r="K58" s="134">
        <f t="shared" si="7"/>
        <v>30</v>
      </c>
      <c r="L58" s="63">
        <f t="shared" si="0"/>
        <v>750</v>
      </c>
      <c r="M58" s="76" t="str">
        <f t="shared" si="1"/>
        <v>OK !!!</v>
      </c>
      <c r="N58" s="130" t="str">
        <f t="shared" si="11"/>
        <v>25x30</v>
      </c>
      <c r="O58" s="142" t="s">
        <v>206</v>
      </c>
      <c r="P58" s="46"/>
    </row>
    <row r="59" spans="1:16" ht="18.75" customHeight="1">
      <c r="A59" s="167">
        <v>3</v>
      </c>
      <c r="B59" s="170" t="str">
        <f>+B56</f>
        <v>-</v>
      </c>
      <c r="C59" s="171">
        <f t="shared" ref="C59" si="38">+A59</f>
        <v>3</v>
      </c>
      <c r="D59" s="169" t="s">
        <v>196</v>
      </c>
      <c r="E59" s="172">
        <v>3.67</v>
      </c>
      <c r="F59" s="62">
        <f>3.54/2+3.1/2</f>
        <v>3.3200000000000003</v>
      </c>
      <c r="G59" s="111">
        <f t="shared" si="3"/>
        <v>33.363636363636367</v>
      </c>
      <c r="H59" s="111">
        <f t="shared" si="4"/>
        <v>37.773821540188379</v>
      </c>
      <c r="I59" s="63">
        <f t="shared" si="5"/>
        <v>16.600000000000001</v>
      </c>
      <c r="J59" s="134">
        <f t="shared" si="6"/>
        <v>25</v>
      </c>
      <c r="K59" s="134">
        <f t="shared" si="7"/>
        <v>40</v>
      </c>
      <c r="L59" s="63">
        <f t="shared" ref="L59" si="39">+J59*K59</f>
        <v>1000</v>
      </c>
      <c r="M59" s="76" t="str">
        <f t="shared" si="1"/>
        <v>OK !!!</v>
      </c>
      <c r="N59" s="130" t="str">
        <f t="shared" ref="N59" si="40">CONCATENATE(J59,"x",K59)</f>
        <v>25x40</v>
      </c>
      <c r="O59" s="142" t="s">
        <v>206</v>
      </c>
      <c r="P59" s="46"/>
    </row>
    <row r="60" spans="1:16" ht="18.75" customHeight="1">
      <c r="A60" s="167">
        <v>4</v>
      </c>
      <c r="B60" s="170" t="str">
        <f>+B58</f>
        <v>-</v>
      </c>
      <c r="C60" s="171">
        <f t="shared" si="10"/>
        <v>4</v>
      </c>
      <c r="D60" s="169" t="s">
        <v>196</v>
      </c>
      <c r="E60" s="172">
        <v>4.5999999999999996</v>
      </c>
      <c r="F60" s="62">
        <f>5.65/2</f>
        <v>2.8250000000000002</v>
      </c>
      <c r="G60" s="111">
        <f t="shared" si="3"/>
        <v>41.818181818181813</v>
      </c>
      <c r="H60" s="111">
        <f t="shared" si="4"/>
        <v>47.345934355549467</v>
      </c>
      <c r="I60" s="63">
        <f t="shared" si="5"/>
        <v>14.125</v>
      </c>
      <c r="J60" s="134">
        <f t="shared" si="6"/>
        <v>25</v>
      </c>
      <c r="K60" s="134">
        <f t="shared" si="7"/>
        <v>50</v>
      </c>
      <c r="L60" s="63">
        <f t="shared" si="0"/>
        <v>1250</v>
      </c>
      <c r="M60" s="76" t="str">
        <f t="shared" si="1"/>
        <v>OK !!!</v>
      </c>
      <c r="N60" s="130" t="str">
        <f t="shared" si="11"/>
        <v>25x50</v>
      </c>
      <c r="O60" s="142" t="s">
        <v>205</v>
      </c>
      <c r="P60" s="46"/>
    </row>
    <row r="61" spans="1:16" ht="18.75" customHeight="1">
      <c r="A61" s="167">
        <v>4</v>
      </c>
      <c r="B61" s="170" t="str">
        <f t="shared" ref="B61:B64" si="41">+B59</f>
        <v>-</v>
      </c>
      <c r="C61" s="171">
        <f t="shared" ref="C61:C64" si="42">+A61</f>
        <v>4</v>
      </c>
      <c r="D61" s="169" t="s">
        <v>196</v>
      </c>
      <c r="E61" s="172">
        <v>4.92</v>
      </c>
      <c r="F61" s="62">
        <f>5.65/2</f>
        <v>2.8250000000000002</v>
      </c>
      <c r="G61" s="111">
        <f t="shared" si="3"/>
        <v>44.727272727272727</v>
      </c>
      <c r="H61" s="111">
        <f t="shared" si="4"/>
        <v>50.639564571587691</v>
      </c>
      <c r="I61" s="63">
        <f t="shared" si="5"/>
        <v>14.125</v>
      </c>
      <c r="J61" s="134">
        <f t="shared" si="6"/>
        <v>25</v>
      </c>
      <c r="K61" s="134">
        <f t="shared" si="7"/>
        <v>55</v>
      </c>
      <c r="L61" s="63">
        <f t="shared" ref="L61:L64" si="43">+J61*K61</f>
        <v>1375</v>
      </c>
      <c r="M61" s="76" t="str">
        <f t="shared" si="1"/>
        <v>OK !!!</v>
      </c>
      <c r="N61" s="130" t="str">
        <f t="shared" ref="N61:N64" si="44">CONCATENATE(J61,"x",K61)</f>
        <v>25x55</v>
      </c>
      <c r="O61" s="142" t="s">
        <v>205</v>
      </c>
      <c r="P61" s="46"/>
    </row>
    <row r="62" spans="1:16" ht="18.75" customHeight="1">
      <c r="A62" s="167">
        <v>4</v>
      </c>
      <c r="B62" s="170" t="str">
        <f t="shared" si="41"/>
        <v>-</v>
      </c>
      <c r="C62" s="171">
        <f t="shared" si="42"/>
        <v>4</v>
      </c>
      <c r="D62" s="169" t="s">
        <v>196</v>
      </c>
      <c r="E62" s="172">
        <v>4.5199999999999996</v>
      </c>
      <c r="F62" s="62">
        <f>3.81/2</f>
        <v>1.905</v>
      </c>
      <c r="G62" s="111">
        <f t="shared" si="3"/>
        <v>41.090909090909086</v>
      </c>
      <c r="H62" s="111">
        <f t="shared" si="4"/>
        <v>46.522526801539911</v>
      </c>
      <c r="I62" s="63">
        <f t="shared" si="5"/>
        <v>9.5250000000000004</v>
      </c>
      <c r="J62" s="134">
        <f t="shared" si="6"/>
        <v>25</v>
      </c>
      <c r="K62" s="134">
        <f t="shared" si="7"/>
        <v>50</v>
      </c>
      <c r="L62" s="63">
        <f t="shared" si="43"/>
        <v>1250</v>
      </c>
      <c r="M62" s="76" t="str">
        <f t="shared" si="1"/>
        <v>OK !!!</v>
      </c>
      <c r="N62" s="130" t="str">
        <f t="shared" si="44"/>
        <v>25x50</v>
      </c>
      <c r="O62" s="142" t="s">
        <v>205</v>
      </c>
      <c r="P62" s="46"/>
    </row>
    <row r="63" spans="1:16" ht="18.75" customHeight="1">
      <c r="A63" s="167">
        <v>4</v>
      </c>
      <c r="B63" s="170" t="str">
        <f t="shared" si="41"/>
        <v>-</v>
      </c>
      <c r="C63" s="171">
        <f t="shared" si="42"/>
        <v>4</v>
      </c>
      <c r="D63" s="169" t="s">
        <v>196</v>
      </c>
      <c r="E63" s="172">
        <v>2.4500000000000002</v>
      </c>
      <c r="F63" s="62">
        <f>3.64/2</f>
        <v>1.82</v>
      </c>
      <c r="G63" s="111">
        <f t="shared" si="3"/>
        <v>22.272727272727277</v>
      </c>
      <c r="H63" s="111">
        <f t="shared" si="4"/>
        <v>25.216856341542652</v>
      </c>
      <c r="I63" s="63">
        <f t="shared" si="5"/>
        <v>9.1</v>
      </c>
      <c r="J63" s="134">
        <f t="shared" si="6"/>
        <v>25</v>
      </c>
      <c r="K63" s="134">
        <f t="shared" si="7"/>
        <v>30</v>
      </c>
      <c r="L63" s="63">
        <f t="shared" si="43"/>
        <v>750</v>
      </c>
      <c r="M63" s="76" t="str">
        <f t="shared" si="1"/>
        <v>OK !!!</v>
      </c>
      <c r="N63" s="130" t="str">
        <f t="shared" si="44"/>
        <v>25x30</v>
      </c>
      <c r="O63" s="142" t="s">
        <v>206</v>
      </c>
      <c r="P63" s="46"/>
    </row>
    <row r="64" spans="1:16" ht="18.75" customHeight="1">
      <c r="A64" s="167">
        <v>4</v>
      </c>
      <c r="B64" s="170" t="str">
        <f t="shared" si="41"/>
        <v>-</v>
      </c>
      <c r="C64" s="171">
        <f t="shared" si="42"/>
        <v>4</v>
      </c>
      <c r="D64" s="169" t="s">
        <v>120</v>
      </c>
      <c r="E64" s="172">
        <v>3.68</v>
      </c>
      <c r="F64" s="62">
        <f>3.54/2</f>
        <v>1.77</v>
      </c>
      <c r="G64" s="111">
        <f t="shared" si="3"/>
        <v>33.454545454545453</v>
      </c>
      <c r="H64" s="111">
        <f t="shared" si="4"/>
        <v>37.876747484439576</v>
      </c>
      <c r="I64" s="63">
        <f t="shared" si="5"/>
        <v>8.85</v>
      </c>
      <c r="J64" s="134">
        <f t="shared" si="6"/>
        <v>25</v>
      </c>
      <c r="K64" s="134">
        <f t="shared" si="7"/>
        <v>40</v>
      </c>
      <c r="L64" s="63">
        <f t="shared" si="43"/>
        <v>1000</v>
      </c>
      <c r="M64" s="76" t="str">
        <f t="shared" si="1"/>
        <v>OK !!!</v>
      </c>
      <c r="N64" s="131" t="str">
        <f t="shared" si="44"/>
        <v>25x40</v>
      </c>
      <c r="O64" s="142" t="s">
        <v>206</v>
      </c>
      <c r="P64" s="46"/>
    </row>
  </sheetData>
  <mergeCells count="5">
    <mergeCell ref="G34:M34"/>
    <mergeCell ref="N34:O35"/>
    <mergeCell ref="A35:C35"/>
    <mergeCell ref="A2:O2"/>
    <mergeCell ref="A3:O3"/>
  </mergeCells>
  <printOptions horizontalCentered="1"/>
  <pageMargins left="0.78740157480314965" right="0.39370078740157483" top="0.59055118110236227" bottom="0.78740157480314965" header="0.31496062992125984" footer="0.31496062992125984"/>
  <pageSetup paperSize="9" scale="55" orientation="portrait" verticalDpi="1200" r:id="rId1"/>
  <ignoredErrors>
    <ignoredError sqref="F47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>
  <dimension ref="A1:N70"/>
  <sheetViews>
    <sheetView view="pageBreakPreview" topLeftCell="A22" zoomScale="115" zoomScaleSheetLayoutView="115" workbookViewId="0">
      <selection activeCell="E35" sqref="E35"/>
    </sheetView>
  </sheetViews>
  <sheetFormatPr baseColWidth="10" defaultRowHeight="12.75"/>
  <cols>
    <col min="1" max="1" width="2.7109375" style="183" customWidth="1"/>
    <col min="2" max="3" width="8.28515625" style="183" customWidth="1"/>
    <col min="4" max="4" width="12" style="183" customWidth="1"/>
    <col min="5" max="5" width="12" style="184" customWidth="1"/>
    <col min="6" max="6" width="13.140625" style="184" customWidth="1"/>
    <col min="7" max="9" width="13.140625" style="183" customWidth="1"/>
    <col min="10" max="10" width="3.28515625" style="183" customWidth="1"/>
    <col min="11" max="12" width="9" style="183" customWidth="1"/>
    <col min="13" max="13" width="4" style="110" bestFit="1" customWidth="1"/>
    <col min="14" max="14" width="7.42578125" style="46" hidden="1" customWidth="1"/>
    <col min="15" max="16384" width="11.42578125" style="46"/>
  </cols>
  <sheetData>
    <row r="1" spans="1:14" ht="12" customHeight="1"/>
    <row r="2" spans="1:14" ht="19.5" customHeight="1">
      <c r="A2" s="244" t="s">
        <v>138</v>
      </c>
      <c r="B2" s="244"/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112"/>
      <c r="N2" s="113"/>
    </row>
    <row r="3" spans="1:14">
      <c r="A3" s="223" t="s">
        <v>92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114"/>
      <c r="N3" s="51"/>
    </row>
    <row r="4" spans="1:14">
      <c r="A4" s="173"/>
      <c r="B4" s="173"/>
      <c r="C4" s="173"/>
      <c r="D4" s="173"/>
      <c r="E4" s="173"/>
      <c r="F4" s="173"/>
      <c r="G4" s="173"/>
      <c r="H4" s="173"/>
      <c r="I4" s="173"/>
      <c r="J4" s="173"/>
      <c r="K4" s="173"/>
      <c r="L4" s="173"/>
      <c r="M4" s="114"/>
      <c r="N4" s="51"/>
    </row>
    <row r="5" spans="1:14" ht="15">
      <c r="A5" s="200" t="s">
        <v>161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14"/>
      <c r="N5" s="196" t="s">
        <v>211</v>
      </c>
    </row>
    <row r="6" spans="1:14">
      <c r="A6" s="173"/>
      <c r="B6" s="173"/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14"/>
      <c r="N6" s="196" t="s">
        <v>213</v>
      </c>
    </row>
    <row r="7" spans="1:14">
      <c r="B7" s="245" t="s">
        <v>143</v>
      </c>
      <c r="C7" s="245"/>
      <c r="D7" s="245"/>
      <c r="E7" s="245"/>
      <c r="F7" s="245"/>
      <c r="K7" s="246" t="s">
        <v>144</v>
      </c>
      <c r="L7" s="247"/>
      <c r="M7" s="114"/>
      <c r="N7" s="196" t="s">
        <v>215</v>
      </c>
    </row>
    <row r="8" spans="1:14">
      <c r="B8" s="243" t="s">
        <v>125</v>
      </c>
      <c r="C8" s="243"/>
      <c r="D8" s="243"/>
      <c r="E8" s="243"/>
      <c r="F8" s="185" t="s">
        <v>115</v>
      </c>
      <c r="K8" s="186" t="s">
        <v>128</v>
      </c>
      <c r="L8" s="187">
        <f>VLOOKUP($F$8,PARAMETROS!A4:B7,2)</f>
        <v>1</v>
      </c>
      <c r="M8" s="114"/>
      <c r="N8" s="196" t="s">
        <v>217</v>
      </c>
    </row>
    <row r="9" spans="1:14">
      <c r="B9" s="243" t="s">
        <v>117</v>
      </c>
      <c r="C9" s="243"/>
      <c r="D9" s="243"/>
      <c r="E9" s="243"/>
      <c r="F9" s="188">
        <v>2</v>
      </c>
      <c r="K9" s="186" t="s">
        <v>126</v>
      </c>
      <c r="L9" s="187">
        <f>VLOOKUP($F$9,PARAMETROS!A13:B15,2)</f>
        <v>0.3</v>
      </c>
      <c r="M9" s="114"/>
      <c r="N9" s="196" t="s">
        <v>219</v>
      </c>
    </row>
    <row r="10" spans="1:14">
      <c r="B10" s="243" t="s">
        <v>119</v>
      </c>
      <c r="C10" s="243"/>
      <c r="D10" s="243"/>
      <c r="E10" s="243"/>
      <c r="F10" s="189" t="s">
        <v>122</v>
      </c>
      <c r="K10" s="186" t="s">
        <v>127</v>
      </c>
      <c r="L10" s="187">
        <f>VLOOKUP($F$10,PARAMETROS!$A$20:$D$23,2)</f>
        <v>0.6</v>
      </c>
      <c r="M10" s="114"/>
      <c r="N10" s="196" t="s">
        <v>221</v>
      </c>
    </row>
    <row r="11" spans="1:14">
      <c r="B11" s="190"/>
      <c r="C11" s="190"/>
      <c r="D11" s="190"/>
      <c r="E11" s="190"/>
      <c r="F11" s="191"/>
      <c r="K11" s="186" t="s">
        <v>129</v>
      </c>
      <c r="L11" s="187">
        <f>VLOOKUP($F$10,PARAMETROS!$A$20:$C$23,3)</f>
        <v>1.2</v>
      </c>
      <c r="M11" s="114"/>
      <c r="N11" s="196" t="s">
        <v>223</v>
      </c>
    </row>
    <row r="12" spans="1:14">
      <c r="B12" s="243" t="s">
        <v>228</v>
      </c>
      <c r="C12" s="243"/>
      <c r="D12" s="243"/>
      <c r="E12" s="243"/>
      <c r="F12" s="252" t="s">
        <v>217</v>
      </c>
      <c r="G12" s="253"/>
      <c r="H12" s="253"/>
      <c r="I12" s="254"/>
      <c r="K12" s="186" t="s">
        <v>230</v>
      </c>
      <c r="L12" s="187">
        <f>VLOOKUP($F$12,PARAMETROS!B41:C49,2)</f>
        <v>3</v>
      </c>
      <c r="M12" s="114"/>
      <c r="N12" s="196" t="s">
        <v>225</v>
      </c>
    </row>
    <row r="13" spans="1:14">
      <c r="B13" s="243" t="s">
        <v>229</v>
      </c>
      <c r="C13" s="243"/>
      <c r="D13" s="243"/>
      <c r="E13" s="243"/>
      <c r="F13" s="252" t="s">
        <v>223</v>
      </c>
      <c r="G13" s="253"/>
      <c r="H13" s="253"/>
      <c r="I13" s="254"/>
      <c r="K13" s="186" t="s">
        <v>231</v>
      </c>
      <c r="L13" s="187">
        <f>VLOOKUP($F$13,PARAMETROS!B41:C49,2)</f>
        <v>8</v>
      </c>
      <c r="M13" s="114"/>
      <c r="N13" s="196" t="s">
        <v>227</v>
      </c>
    </row>
    <row r="14" spans="1:14">
      <c r="M14" s="114"/>
    </row>
    <row r="15" spans="1:14">
      <c r="B15" s="248" t="s">
        <v>238</v>
      </c>
      <c r="C15" s="249"/>
      <c r="D15" s="249"/>
      <c r="E15" s="250"/>
      <c r="F15" s="188">
        <v>2</v>
      </c>
      <c r="G15" s="251" t="s">
        <v>234</v>
      </c>
      <c r="H15" s="251"/>
      <c r="I15" s="187">
        <f>VLOOKUP($F$15,PARAMETROS!A52:B53,2)</f>
        <v>0.75</v>
      </c>
      <c r="K15" s="186" t="s">
        <v>230</v>
      </c>
      <c r="L15" s="187">
        <f>+I15*L12</f>
        <v>2.25</v>
      </c>
      <c r="M15" s="114"/>
      <c r="N15" s="197" t="s">
        <v>232</v>
      </c>
    </row>
    <row r="16" spans="1:14">
      <c r="K16" s="186" t="s">
        <v>231</v>
      </c>
      <c r="L16" s="187">
        <f>+I15*L13</f>
        <v>6</v>
      </c>
      <c r="M16" s="114"/>
      <c r="N16" s="197" t="s">
        <v>233</v>
      </c>
    </row>
    <row r="17" spans="1:14">
      <c r="K17" s="198"/>
      <c r="L17" s="199"/>
      <c r="M17" s="114"/>
      <c r="N17" s="197"/>
    </row>
    <row r="19" spans="1:14">
      <c r="M19" s="114"/>
      <c r="N19" s="51"/>
    </row>
    <row r="20" spans="1:14" ht="15">
      <c r="A20" s="200" t="s">
        <v>241</v>
      </c>
    </row>
    <row r="24" spans="1:14">
      <c r="D24" s="174" t="s">
        <v>239</v>
      </c>
      <c r="E24" s="174" t="s">
        <v>240</v>
      </c>
    </row>
    <row r="25" spans="1:14">
      <c r="B25" s="192" t="s">
        <v>235</v>
      </c>
      <c r="C25" s="192" t="s">
        <v>115</v>
      </c>
      <c r="D25" s="193" t="s">
        <v>236</v>
      </c>
      <c r="E25" s="193" t="s">
        <v>237</v>
      </c>
    </row>
    <row r="26" spans="1:14">
      <c r="B26" s="194">
        <v>0</v>
      </c>
      <c r="C26" s="194">
        <f>+C27</f>
        <v>2.5</v>
      </c>
      <c r="D26" s="195">
        <f t="shared" ref="D26:D70" si="0">+L$9*L$8*L$11*C26/L$15</f>
        <v>0.39999999999999997</v>
      </c>
      <c r="E26" s="195">
        <f t="shared" ref="E26:E70" si="1">+L$9*L$8*L$11*C26/L$16</f>
        <v>0.15</v>
      </c>
    </row>
    <row r="27" spans="1:14">
      <c r="B27" s="194">
        <f>+B26+0.2</f>
        <v>0.2</v>
      </c>
      <c r="C27" s="194">
        <f>+IF(2.5*((L$10/B27))&lt;=2.5,2.5*((L$10/B27)),2.5)</f>
        <v>2.5</v>
      </c>
      <c r="D27" s="195">
        <f t="shared" si="0"/>
        <v>0.39999999999999997</v>
      </c>
      <c r="E27" s="195">
        <f t="shared" si="1"/>
        <v>0.15</v>
      </c>
    </row>
    <row r="28" spans="1:14">
      <c r="B28" s="194">
        <f>+B27+0.2</f>
        <v>0.4</v>
      </c>
      <c r="C28" s="194">
        <f t="shared" ref="C28:C42" si="2">+IF(2.5*((L$10/B28))&lt;=2.5,2.5*((L$10/B28)),2.5)</f>
        <v>2.5</v>
      </c>
      <c r="D28" s="195">
        <f t="shared" si="0"/>
        <v>0.39999999999999997</v>
      </c>
      <c r="E28" s="195">
        <f t="shared" si="1"/>
        <v>0.15</v>
      </c>
    </row>
    <row r="29" spans="1:14">
      <c r="B29" s="194">
        <f>+B28+0.05</f>
        <v>0.45</v>
      </c>
      <c r="C29" s="194">
        <f t="shared" si="2"/>
        <v>2.5</v>
      </c>
      <c r="D29" s="195">
        <f t="shared" si="0"/>
        <v>0.39999999999999997</v>
      </c>
      <c r="E29" s="195">
        <f t="shared" si="1"/>
        <v>0.15</v>
      </c>
    </row>
    <row r="30" spans="1:14">
      <c r="B30" s="194">
        <f t="shared" ref="B30:B70" si="3">+B29+0.05</f>
        <v>0.5</v>
      </c>
      <c r="C30" s="194">
        <f t="shared" si="2"/>
        <v>2.5</v>
      </c>
      <c r="D30" s="195">
        <f t="shared" si="0"/>
        <v>0.39999999999999997</v>
      </c>
      <c r="E30" s="195">
        <f t="shared" si="1"/>
        <v>0.15</v>
      </c>
    </row>
    <row r="31" spans="1:14">
      <c r="B31" s="194">
        <f t="shared" si="3"/>
        <v>0.55000000000000004</v>
      </c>
      <c r="C31" s="194">
        <f t="shared" si="2"/>
        <v>2.5</v>
      </c>
      <c r="D31" s="195">
        <f t="shared" si="0"/>
        <v>0.39999999999999997</v>
      </c>
      <c r="E31" s="195">
        <f t="shared" si="1"/>
        <v>0.15</v>
      </c>
    </row>
    <row r="32" spans="1:14">
      <c r="B32" s="194">
        <f t="shared" si="3"/>
        <v>0.60000000000000009</v>
      </c>
      <c r="C32" s="194">
        <f t="shared" si="2"/>
        <v>2.4999999999999996</v>
      </c>
      <c r="D32" s="195">
        <f t="shared" si="0"/>
        <v>0.39999999999999991</v>
      </c>
      <c r="E32" s="195">
        <f t="shared" si="1"/>
        <v>0.14999999999999997</v>
      </c>
    </row>
    <row r="33" spans="2:5">
      <c r="B33" s="194">
        <f t="shared" si="3"/>
        <v>0.65000000000000013</v>
      </c>
      <c r="C33" s="194">
        <f t="shared" si="2"/>
        <v>2.3076923076923075</v>
      </c>
      <c r="D33" s="195">
        <f t="shared" si="0"/>
        <v>0.3692307692307692</v>
      </c>
      <c r="E33" s="195">
        <f t="shared" si="1"/>
        <v>0.13846153846153844</v>
      </c>
    </row>
    <row r="34" spans="2:5">
      <c r="B34" s="194">
        <f t="shared" si="3"/>
        <v>0.70000000000000018</v>
      </c>
      <c r="C34" s="194">
        <f t="shared" si="2"/>
        <v>2.1428571428571423</v>
      </c>
      <c r="D34" s="195">
        <f t="shared" si="0"/>
        <v>0.34285714285714275</v>
      </c>
      <c r="E34" s="195">
        <f t="shared" si="1"/>
        <v>0.12857142857142853</v>
      </c>
    </row>
    <row r="35" spans="2:5">
      <c r="B35" s="194">
        <f t="shared" si="3"/>
        <v>0.75000000000000022</v>
      </c>
      <c r="C35" s="194">
        <f t="shared" si="2"/>
        <v>1.9999999999999993</v>
      </c>
      <c r="D35" s="195">
        <f t="shared" si="0"/>
        <v>0.3199999999999999</v>
      </c>
      <c r="E35" s="195">
        <f t="shared" si="1"/>
        <v>0.11999999999999995</v>
      </c>
    </row>
    <row r="36" spans="2:5">
      <c r="B36" s="194">
        <f t="shared" si="3"/>
        <v>0.80000000000000027</v>
      </c>
      <c r="C36" s="194">
        <f t="shared" si="2"/>
        <v>1.8749999999999996</v>
      </c>
      <c r="D36" s="195">
        <f t="shared" si="0"/>
        <v>0.29999999999999993</v>
      </c>
      <c r="E36" s="195">
        <f t="shared" si="1"/>
        <v>0.11249999999999998</v>
      </c>
    </row>
    <row r="37" spans="2:5">
      <c r="B37" s="194">
        <f t="shared" si="3"/>
        <v>0.85000000000000031</v>
      </c>
      <c r="C37" s="194">
        <f t="shared" si="2"/>
        <v>1.7647058823529405</v>
      </c>
      <c r="D37" s="195">
        <f t="shared" si="0"/>
        <v>0.28235294117647047</v>
      </c>
      <c r="E37" s="195">
        <f t="shared" si="1"/>
        <v>0.10588235294117643</v>
      </c>
    </row>
    <row r="38" spans="2:5">
      <c r="B38" s="194">
        <f t="shared" si="3"/>
        <v>0.90000000000000036</v>
      </c>
      <c r="C38" s="194">
        <f t="shared" si="2"/>
        <v>1.6666666666666661</v>
      </c>
      <c r="D38" s="195">
        <f t="shared" si="0"/>
        <v>0.26666666666666655</v>
      </c>
      <c r="E38" s="195">
        <f t="shared" si="1"/>
        <v>9.9999999999999964E-2</v>
      </c>
    </row>
    <row r="39" spans="2:5">
      <c r="B39" s="194">
        <f t="shared" si="3"/>
        <v>0.9500000000000004</v>
      </c>
      <c r="C39" s="194">
        <f t="shared" si="2"/>
        <v>1.578947368421052</v>
      </c>
      <c r="D39" s="195">
        <f t="shared" si="0"/>
        <v>0.25263157894736832</v>
      </c>
      <c r="E39" s="195">
        <f t="shared" si="1"/>
        <v>9.4736842105263119E-2</v>
      </c>
    </row>
    <row r="40" spans="2:5">
      <c r="B40" s="194">
        <f t="shared" si="3"/>
        <v>1.0000000000000004</v>
      </c>
      <c r="C40" s="194">
        <f t="shared" si="2"/>
        <v>1.4999999999999993</v>
      </c>
      <c r="D40" s="195">
        <f t="shared" si="0"/>
        <v>0.23999999999999988</v>
      </c>
      <c r="E40" s="195">
        <f t="shared" si="1"/>
        <v>8.9999999999999955E-2</v>
      </c>
    </row>
    <row r="41" spans="2:5">
      <c r="B41" s="194">
        <f t="shared" si="3"/>
        <v>1.0500000000000005</v>
      </c>
      <c r="C41" s="194">
        <f t="shared" si="2"/>
        <v>1.4285714285714279</v>
      </c>
      <c r="D41" s="195">
        <f t="shared" si="0"/>
        <v>0.22857142857142845</v>
      </c>
      <c r="E41" s="195">
        <f t="shared" si="1"/>
        <v>8.5714285714285673E-2</v>
      </c>
    </row>
    <row r="42" spans="2:5">
      <c r="B42" s="194">
        <f t="shared" si="3"/>
        <v>1.1000000000000005</v>
      </c>
      <c r="C42" s="194">
        <f t="shared" si="2"/>
        <v>1.3636363636363629</v>
      </c>
      <c r="D42" s="195">
        <f t="shared" si="0"/>
        <v>0.21818181818181806</v>
      </c>
      <c r="E42" s="195">
        <f t="shared" si="1"/>
        <v>8.1818181818181776E-2</v>
      </c>
    </row>
    <row r="43" spans="2:5">
      <c r="B43" s="194">
        <f t="shared" si="3"/>
        <v>1.1500000000000006</v>
      </c>
      <c r="C43" s="194">
        <f t="shared" ref="C43:C70" si="4">+IF(2.5*((L$10/B43))&lt;=2.5,2.5*((L$10/B43)),2.5)</f>
        <v>1.3043478260869559</v>
      </c>
      <c r="D43" s="195">
        <f t="shared" si="0"/>
        <v>0.20869565217391292</v>
      </c>
      <c r="E43" s="195">
        <f t="shared" si="1"/>
        <v>7.8260869565217342E-2</v>
      </c>
    </row>
    <row r="44" spans="2:5">
      <c r="B44" s="194">
        <f t="shared" si="3"/>
        <v>1.2000000000000006</v>
      </c>
      <c r="C44" s="194">
        <f t="shared" si="4"/>
        <v>1.2499999999999993</v>
      </c>
      <c r="D44" s="195">
        <f t="shared" si="0"/>
        <v>0.19999999999999987</v>
      </c>
      <c r="E44" s="195">
        <f t="shared" si="1"/>
        <v>7.4999999999999956E-2</v>
      </c>
    </row>
    <row r="45" spans="2:5">
      <c r="B45" s="194">
        <f t="shared" si="3"/>
        <v>1.2500000000000007</v>
      </c>
      <c r="C45" s="194">
        <f t="shared" si="4"/>
        <v>1.1999999999999993</v>
      </c>
      <c r="D45" s="195">
        <f t="shared" si="0"/>
        <v>0.19199999999999987</v>
      </c>
      <c r="E45" s="195">
        <f t="shared" si="1"/>
        <v>7.1999999999999953E-2</v>
      </c>
    </row>
    <row r="46" spans="2:5">
      <c r="B46" s="194">
        <f t="shared" si="3"/>
        <v>1.3000000000000007</v>
      </c>
      <c r="C46" s="194">
        <f t="shared" si="4"/>
        <v>1.1538461538461533</v>
      </c>
      <c r="D46" s="195">
        <f t="shared" si="0"/>
        <v>0.18461538461538451</v>
      </c>
      <c r="E46" s="195">
        <f t="shared" si="1"/>
        <v>6.9230769230769193E-2</v>
      </c>
    </row>
    <row r="47" spans="2:5">
      <c r="B47" s="194">
        <f t="shared" si="3"/>
        <v>1.3500000000000008</v>
      </c>
      <c r="C47" s="194">
        <f t="shared" si="4"/>
        <v>1.1111111111111105</v>
      </c>
      <c r="D47" s="195">
        <f t="shared" si="0"/>
        <v>0.17777777777777767</v>
      </c>
      <c r="E47" s="195">
        <f t="shared" si="1"/>
        <v>6.6666666666666624E-2</v>
      </c>
    </row>
    <row r="48" spans="2:5">
      <c r="B48" s="194">
        <f t="shared" si="3"/>
        <v>1.4000000000000008</v>
      </c>
      <c r="C48" s="194">
        <f t="shared" si="4"/>
        <v>1.0714285714285707</v>
      </c>
      <c r="D48" s="195">
        <f t="shared" si="0"/>
        <v>0.17142857142857132</v>
      </c>
      <c r="E48" s="195">
        <f t="shared" si="1"/>
        <v>6.4285714285714238E-2</v>
      </c>
    </row>
    <row r="49" spans="2:5">
      <c r="B49" s="194">
        <f t="shared" si="3"/>
        <v>1.4500000000000008</v>
      </c>
      <c r="C49" s="194">
        <f t="shared" si="4"/>
        <v>1.0344827586206891</v>
      </c>
      <c r="D49" s="195">
        <f t="shared" si="0"/>
        <v>0.16551724137931023</v>
      </c>
      <c r="E49" s="195">
        <f t="shared" si="1"/>
        <v>6.2068965517241337E-2</v>
      </c>
    </row>
    <row r="50" spans="2:5">
      <c r="B50" s="194">
        <f t="shared" si="3"/>
        <v>1.5000000000000009</v>
      </c>
      <c r="C50" s="194">
        <f t="shared" si="4"/>
        <v>0.99999999999999933</v>
      </c>
      <c r="D50" s="195">
        <f t="shared" si="0"/>
        <v>0.15999999999999989</v>
      </c>
      <c r="E50" s="195">
        <f t="shared" si="1"/>
        <v>5.9999999999999963E-2</v>
      </c>
    </row>
    <row r="51" spans="2:5">
      <c r="B51" s="194">
        <f t="shared" si="3"/>
        <v>1.5500000000000009</v>
      </c>
      <c r="C51" s="194">
        <f t="shared" si="4"/>
        <v>0.96774193548387033</v>
      </c>
      <c r="D51" s="195">
        <f t="shared" si="0"/>
        <v>0.15483870967741925</v>
      </c>
      <c r="E51" s="195">
        <f t="shared" si="1"/>
        <v>5.8064516129032219E-2</v>
      </c>
    </row>
    <row r="52" spans="2:5">
      <c r="B52" s="194">
        <f t="shared" si="3"/>
        <v>1.600000000000001</v>
      </c>
      <c r="C52" s="194">
        <f t="shared" si="4"/>
        <v>0.93749999999999944</v>
      </c>
      <c r="D52" s="195">
        <f t="shared" si="0"/>
        <v>0.14999999999999991</v>
      </c>
      <c r="E52" s="195">
        <f t="shared" si="1"/>
        <v>5.6249999999999967E-2</v>
      </c>
    </row>
    <row r="53" spans="2:5">
      <c r="B53" s="194">
        <f t="shared" si="3"/>
        <v>1.650000000000001</v>
      </c>
      <c r="C53" s="194">
        <f t="shared" si="4"/>
        <v>0.90909090909090851</v>
      </c>
      <c r="D53" s="195">
        <f t="shared" si="0"/>
        <v>0.14545454545454536</v>
      </c>
      <c r="E53" s="195">
        <f t="shared" si="1"/>
        <v>5.4545454545454508E-2</v>
      </c>
    </row>
    <row r="54" spans="2:5">
      <c r="B54" s="194">
        <f t="shared" si="3"/>
        <v>1.7000000000000011</v>
      </c>
      <c r="C54" s="194">
        <f t="shared" si="4"/>
        <v>0.8823529411764699</v>
      </c>
      <c r="D54" s="195">
        <f t="shared" si="0"/>
        <v>0.14117647058823518</v>
      </c>
      <c r="E54" s="195">
        <f t="shared" si="1"/>
        <v>5.2941176470588193E-2</v>
      </c>
    </row>
    <row r="55" spans="2:5">
      <c r="B55" s="194">
        <f t="shared" si="3"/>
        <v>1.7500000000000011</v>
      </c>
      <c r="C55" s="194">
        <f t="shared" si="4"/>
        <v>0.85714285714285654</v>
      </c>
      <c r="D55" s="195">
        <f t="shared" si="0"/>
        <v>0.13714285714285704</v>
      </c>
      <c r="E55" s="195">
        <f t="shared" si="1"/>
        <v>5.1428571428571386E-2</v>
      </c>
    </row>
    <row r="56" spans="2:5">
      <c r="B56" s="194">
        <f t="shared" si="3"/>
        <v>1.8000000000000012</v>
      </c>
      <c r="C56" s="194">
        <f t="shared" si="4"/>
        <v>0.8333333333333327</v>
      </c>
      <c r="D56" s="195">
        <f t="shared" si="0"/>
        <v>0.13333333333333322</v>
      </c>
      <c r="E56" s="195">
        <f t="shared" si="1"/>
        <v>4.9999999999999961E-2</v>
      </c>
    </row>
    <row r="57" spans="2:5">
      <c r="B57" s="194">
        <f t="shared" si="3"/>
        <v>1.8500000000000012</v>
      </c>
      <c r="C57" s="194">
        <f t="shared" si="4"/>
        <v>0.8108108108108103</v>
      </c>
      <c r="D57" s="195">
        <f t="shared" si="0"/>
        <v>0.12972972972972963</v>
      </c>
      <c r="E57" s="195">
        <f t="shared" si="1"/>
        <v>4.8648648648648617E-2</v>
      </c>
    </row>
    <row r="58" spans="2:5">
      <c r="B58" s="194">
        <f t="shared" si="3"/>
        <v>1.9000000000000012</v>
      </c>
      <c r="C58" s="194">
        <f t="shared" si="4"/>
        <v>0.78947368421052566</v>
      </c>
      <c r="D58" s="195">
        <f t="shared" si="0"/>
        <v>0.1263157894736841</v>
      </c>
      <c r="E58" s="195">
        <f t="shared" si="1"/>
        <v>4.7368421052631539E-2</v>
      </c>
    </row>
    <row r="59" spans="2:5">
      <c r="B59" s="194">
        <f t="shared" si="3"/>
        <v>1.9500000000000013</v>
      </c>
      <c r="C59" s="194">
        <f t="shared" si="4"/>
        <v>0.76923076923076872</v>
      </c>
      <c r="D59" s="195">
        <f t="shared" si="0"/>
        <v>0.12307692307692299</v>
      </c>
      <c r="E59" s="195">
        <f t="shared" si="1"/>
        <v>4.6153846153846122E-2</v>
      </c>
    </row>
    <row r="60" spans="2:5">
      <c r="B60" s="194">
        <f t="shared" si="3"/>
        <v>2.0000000000000013</v>
      </c>
      <c r="C60" s="194">
        <f t="shared" si="4"/>
        <v>0.74999999999999944</v>
      </c>
      <c r="D60" s="195">
        <f t="shared" si="0"/>
        <v>0.11999999999999991</v>
      </c>
      <c r="E60" s="195">
        <f t="shared" si="1"/>
        <v>4.4999999999999964E-2</v>
      </c>
    </row>
    <row r="61" spans="2:5">
      <c r="B61" s="194">
        <f t="shared" si="3"/>
        <v>2.0500000000000012</v>
      </c>
      <c r="C61" s="194">
        <f t="shared" si="4"/>
        <v>0.73170731707317027</v>
      </c>
      <c r="D61" s="195">
        <f t="shared" si="0"/>
        <v>0.11707317073170725</v>
      </c>
      <c r="E61" s="195">
        <f t="shared" si="1"/>
        <v>4.390243902439022E-2</v>
      </c>
    </row>
    <row r="62" spans="2:5">
      <c r="B62" s="194">
        <f t="shared" si="3"/>
        <v>2.100000000000001</v>
      </c>
      <c r="C62" s="194">
        <f t="shared" si="4"/>
        <v>0.71428571428571397</v>
      </c>
      <c r="D62" s="195">
        <f t="shared" si="0"/>
        <v>0.11428571428571423</v>
      </c>
      <c r="E62" s="195">
        <f t="shared" si="1"/>
        <v>4.2857142857142837E-2</v>
      </c>
    </row>
    <row r="63" spans="2:5">
      <c r="B63" s="194">
        <f t="shared" si="3"/>
        <v>2.1500000000000008</v>
      </c>
      <c r="C63" s="194">
        <f t="shared" si="4"/>
        <v>0.69767441860465085</v>
      </c>
      <c r="D63" s="195">
        <f t="shared" si="0"/>
        <v>0.11162790697674413</v>
      </c>
      <c r="E63" s="195">
        <f t="shared" si="1"/>
        <v>4.1860465116279048E-2</v>
      </c>
    </row>
    <row r="64" spans="2:5">
      <c r="B64" s="194">
        <f t="shared" si="3"/>
        <v>2.2000000000000006</v>
      </c>
      <c r="C64" s="194">
        <f t="shared" si="4"/>
        <v>0.68181818181818166</v>
      </c>
      <c r="D64" s="195">
        <f t="shared" si="0"/>
        <v>0.10909090909090907</v>
      </c>
      <c r="E64" s="195">
        <f t="shared" si="1"/>
        <v>4.0909090909090902E-2</v>
      </c>
    </row>
    <row r="65" spans="2:5">
      <c r="B65" s="194">
        <f t="shared" si="3"/>
        <v>2.2500000000000004</v>
      </c>
      <c r="C65" s="194">
        <f t="shared" si="4"/>
        <v>0.66666666666666652</v>
      </c>
      <c r="D65" s="195">
        <f t="shared" si="0"/>
        <v>0.10666666666666663</v>
      </c>
      <c r="E65" s="195">
        <f t="shared" si="1"/>
        <v>3.9999999999999987E-2</v>
      </c>
    </row>
    <row r="66" spans="2:5">
      <c r="B66" s="194">
        <f t="shared" si="3"/>
        <v>2.3000000000000003</v>
      </c>
      <c r="C66" s="194">
        <f t="shared" si="4"/>
        <v>0.65217391304347805</v>
      </c>
      <c r="D66" s="195">
        <f t="shared" si="0"/>
        <v>0.10434782608695649</v>
      </c>
      <c r="E66" s="195">
        <f t="shared" si="1"/>
        <v>3.9130434782608685E-2</v>
      </c>
    </row>
    <row r="67" spans="2:5">
      <c r="B67" s="194">
        <f t="shared" si="3"/>
        <v>2.35</v>
      </c>
      <c r="C67" s="194">
        <f t="shared" si="4"/>
        <v>0.63829787234042545</v>
      </c>
      <c r="D67" s="195">
        <f t="shared" si="0"/>
        <v>0.10212765957446807</v>
      </c>
      <c r="E67" s="195">
        <f t="shared" si="1"/>
        <v>3.8297872340425525E-2</v>
      </c>
    </row>
    <row r="68" spans="2:5">
      <c r="B68" s="194">
        <f t="shared" si="3"/>
        <v>2.4</v>
      </c>
      <c r="C68" s="194">
        <f t="shared" si="4"/>
        <v>0.625</v>
      </c>
      <c r="D68" s="195">
        <f t="shared" si="0"/>
        <v>9.9999999999999992E-2</v>
      </c>
      <c r="E68" s="195">
        <f t="shared" si="1"/>
        <v>3.7499999999999999E-2</v>
      </c>
    </row>
    <row r="69" spans="2:5">
      <c r="B69" s="194">
        <f t="shared" si="3"/>
        <v>2.4499999999999997</v>
      </c>
      <c r="C69" s="194">
        <f t="shared" si="4"/>
        <v>0.61224489795918369</v>
      </c>
      <c r="D69" s="195">
        <f t="shared" si="0"/>
        <v>9.7959183673469397E-2</v>
      </c>
      <c r="E69" s="195">
        <f t="shared" si="1"/>
        <v>3.6734693877551024E-2</v>
      </c>
    </row>
    <row r="70" spans="2:5">
      <c r="B70" s="194">
        <f t="shared" si="3"/>
        <v>2.4999999999999996</v>
      </c>
      <c r="C70" s="194">
        <f t="shared" si="4"/>
        <v>0.60000000000000009</v>
      </c>
      <c r="D70" s="195">
        <f t="shared" si="0"/>
        <v>9.6000000000000016E-2</v>
      </c>
      <c r="E70" s="195">
        <f t="shared" si="1"/>
        <v>3.6000000000000004E-2</v>
      </c>
    </row>
  </sheetData>
  <mergeCells count="13">
    <mergeCell ref="B15:E15"/>
    <mergeCell ref="G15:H15"/>
    <mergeCell ref="F12:I12"/>
    <mergeCell ref="F13:I13"/>
    <mergeCell ref="B10:E10"/>
    <mergeCell ref="B12:E12"/>
    <mergeCell ref="B13:E13"/>
    <mergeCell ref="B9:E9"/>
    <mergeCell ref="A2:L2"/>
    <mergeCell ref="A3:L3"/>
    <mergeCell ref="B7:F7"/>
    <mergeCell ref="K7:L7"/>
    <mergeCell ref="B8:E8"/>
  </mergeCells>
  <dataValidations count="5">
    <dataValidation type="list" allowBlank="1" showInputMessage="1" showErrorMessage="1" sqref="F15">
      <formula1>"1,2"</formula1>
    </dataValidation>
    <dataValidation type="list" allowBlank="1" showInputMessage="1" showErrorMessage="1" sqref="F10:F11">
      <formula1>"S1,S2,S3,S4"</formula1>
    </dataValidation>
    <dataValidation type="list" allowBlank="1" showInputMessage="1" showErrorMessage="1" sqref="F8">
      <formula1>"A,B,C,D"</formula1>
    </dataValidation>
    <dataValidation type="list" allowBlank="1" showInputMessage="1" showErrorMessage="1" sqref="F9">
      <formula1>"1,2,3"</formula1>
    </dataValidation>
    <dataValidation type="list" allowBlank="1" showInputMessage="1" showErrorMessage="1" sqref="F12:I13">
      <formula1>$N$5:$N$13</formula1>
    </dataValidation>
  </dataValidations>
  <printOptions horizontalCentered="1"/>
  <pageMargins left="0.78740157480314965" right="0.39370078740157483" top="0.59055118110236227" bottom="0.78740157480314965" header="0.31496062992125984" footer="0.31496062992125984"/>
  <pageSetup paperSize="9" scale="78" orientation="portrait" verticalDpi="1200" r:id="rId1"/>
  <drawing r:id="rId2"/>
  <legacyDrawing r:id="rId3"/>
  <oleObjects>
    <oleObject progId="AutoCAD.Drawing.17" shapeId="3078" r:id="rId4"/>
    <oleObject progId="Equation.3" shapeId="3079" r:id="rId5"/>
  </oleObjects>
</worksheet>
</file>

<file path=xl/worksheets/sheet5.xml><?xml version="1.0" encoding="utf-8"?>
<worksheet xmlns="http://schemas.openxmlformats.org/spreadsheetml/2006/main" xmlns:r="http://schemas.openxmlformats.org/officeDocument/2006/relationships">
  <dimension ref="A1:F49"/>
  <sheetViews>
    <sheetView tabSelected="1" topLeftCell="D1" zoomScale="60" zoomScaleNormal="60" workbookViewId="0">
      <selection activeCell="E5" sqref="E5:E49"/>
    </sheetView>
  </sheetViews>
  <sheetFormatPr baseColWidth="10" defaultRowHeight="15"/>
  <cols>
    <col min="1" max="1" width="8" hidden="1" customWidth="1"/>
    <col min="2" max="3" width="15.85546875" style="202" hidden="1" customWidth="1"/>
    <col min="5" max="6" width="34.140625" customWidth="1"/>
  </cols>
  <sheetData>
    <row r="1" spans="1:6" ht="15.75" thickBot="1"/>
    <row r="2" spans="1:6" s="206" customFormat="1" ht="21.75" thickBot="1">
      <c r="A2" s="255" t="s">
        <v>242</v>
      </c>
      <c r="B2" s="255"/>
      <c r="C2" s="255"/>
      <c r="E2" s="256" t="s">
        <v>246</v>
      </c>
      <c r="F2" s="257"/>
    </row>
    <row r="3" spans="1:6" ht="18.75">
      <c r="A3" s="203"/>
      <c r="B3" s="207" t="str">
        <f>+ESPECTRO!D24</f>
        <v>Sax</v>
      </c>
      <c r="C3" s="207" t="str">
        <f>+ESPECTRO!E24</f>
        <v>Say</v>
      </c>
      <c r="E3" s="208" t="s">
        <v>245</v>
      </c>
      <c r="F3" s="208" t="s">
        <v>245</v>
      </c>
    </row>
    <row r="4" spans="1:6" ht="19.5" thickBot="1">
      <c r="A4" s="203" t="str">
        <f>+ESPECTRO!B25</f>
        <v>T (s)</v>
      </c>
      <c r="B4" s="204" t="str">
        <f>+ESPECTRO!D25</f>
        <v>ZUCS/RX</v>
      </c>
      <c r="C4" s="204" t="str">
        <f>+ESPECTRO!E25</f>
        <v>ZUCS/RY</v>
      </c>
      <c r="E4" s="209" t="s">
        <v>244</v>
      </c>
      <c r="F4" s="209" t="s">
        <v>243</v>
      </c>
    </row>
    <row r="5" spans="1:6">
      <c r="A5" s="201">
        <f>+ESPECTRO!B26</f>
        <v>0</v>
      </c>
      <c r="B5" s="205">
        <f>+ESPECTRO!D26</f>
        <v>0.39999999999999997</v>
      </c>
      <c r="C5" s="205">
        <f>+ESPECTRO!E26</f>
        <v>0.15</v>
      </c>
      <c r="E5" s="212" t="str">
        <f>CONCATENATE(A5," ",B5)</f>
        <v>0 0.4</v>
      </c>
      <c r="F5" s="210" t="str">
        <f>CONCATENATE(A5," ",C5)</f>
        <v>0 0.15</v>
      </c>
    </row>
    <row r="6" spans="1:6">
      <c r="A6" s="201">
        <f>+ESPECTRO!B27</f>
        <v>0.2</v>
      </c>
      <c r="B6" s="205">
        <f>+ESPECTRO!D27</f>
        <v>0.39999999999999997</v>
      </c>
      <c r="C6" s="205">
        <f>+ESPECTRO!E27</f>
        <v>0.15</v>
      </c>
      <c r="E6" s="213" t="str">
        <f t="shared" ref="E6:E49" si="0">CONCATENATE(A6," ",B6)</f>
        <v>0.2 0.4</v>
      </c>
      <c r="F6" s="210" t="str">
        <f t="shared" ref="F6:F49" si="1">CONCATENATE(A6," ",C6)</f>
        <v>0.2 0.15</v>
      </c>
    </row>
    <row r="7" spans="1:6">
      <c r="A7" s="201">
        <f>+ESPECTRO!B28</f>
        <v>0.4</v>
      </c>
      <c r="B7" s="205">
        <f>+ESPECTRO!D28</f>
        <v>0.39999999999999997</v>
      </c>
      <c r="C7" s="205">
        <f>+ESPECTRO!E28</f>
        <v>0.15</v>
      </c>
      <c r="E7" s="213" t="str">
        <f t="shared" si="0"/>
        <v>0.4 0.4</v>
      </c>
      <c r="F7" s="210" t="str">
        <f t="shared" si="1"/>
        <v>0.4 0.15</v>
      </c>
    </row>
    <row r="8" spans="1:6">
      <c r="A8" s="201">
        <f>+ESPECTRO!B29</f>
        <v>0.45</v>
      </c>
      <c r="B8" s="205">
        <f>+ESPECTRO!D29</f>
        <v>0.39999999999999997</v>
      </c>
      <c r="C8" s="205">
        <f>+ESPECTRO!E29</f>
        <v>0.15</v>
      </c>
      <c r="E8" s="213" t="str">
        <f t="shared" si="0"/>
        <v>0.45 0.4</v>
      </c>
      <c r="F8" s="210" t="str">
        <f t="shared" si="1"/>
        <v>0.45 0.15</v>
      </c>
    </row>
    <row r="9" spans="1:6">
      <c r="A9" s="201">
        <f>+ESPECTRO!B30</f>
        <v>0.5</v>
      </c>
      <c r="B9" s="205">
        <f>+ESPECTRO!D30</f>
        <v>0.39999999999999997</v>
      </c>
      <c r="C9" s="205">
        <f>+ESPECTRO!E30</f>
        <v>0.15</v>
      </c>
      <c r="E9" s="213" t="str">
        <f t="shared" si="0"/>
        <v>0.5 0.4</v>
      </c>
      <c r="F9" s="210" t="str">
        <f t="shared" si="1"/>
        <v>0.5 0.15</v>
      </c>
    </row>
    <row r="10" spans="1:6">
      <c r="A10" s="201">
        <f>+ESPECTRO!B31</f>
        <v>0.55000000000000004</v>
      </c>
      <c r="B10" s="205">
        <f>+ESPECTRO!D31</f>
        <v>0.39999999999999997</v>
      </c>
      <c r="C10" s="205">
        <f>+ESPECTRO!E31</f>
        <v>0.15</v>
      </c>
      <c r="E10" s="213" t="str">
        <f t="shared" si="0"/>
        <v>0.55 0.4</v>
      </c>
      <c r="F10" s="210" t="str">
        <f t="shared" si="1"/>
        <v>0.55 0.15</v>
      </c>
    </row>
    <row r="11" spans="1:6">
      <c r="A11" s="201">
        <f>+ESPECTRO!B32</f>
        <v>0.60000000000000009</v>
      </c>
      <c r="B11" s="205">
        <f>+ESPECTRO!D32</f>
        <v>0.39999999999999991</v>
      </c>
      <c r="C11" s="205">
        <f>+ESPECTRO!E32</f>
        <v>0.14999999999999997</v>
      </c>
      <c r="E11" s="213" t="str">
        <f t="shared" si="0"/>
        <v>0.6 0.4</v>
      </c>
      <c r="F11" s="210" t="str">
        <f t="shared" si="1"/>
        <v>0.6 0.15</v>
      </c>
    </row>
    <row r="12" spans="1:6">
      <c r="A12" s="201">
        <f>+ESPECTRO!B33</f>
        <v>0.65000000000000013</v>
      </c>
      <c r="B12" s="205">
        <f>+ESPECTRO!D33</f>
        <v>0.3692307692307692</v>
      </c>
      <c r="C12" s="205">
        <f>+ESPECTRO!E33</f>
        <v>0.13846153846153844</v>
      </c>
      <c r="E12" s="213" t="str">
        <f t="shared" si="0"/>
        <v>0.65 0.369230769230769</v>
      </c>
      <c r="F12" s="210" t="str">
        <f t="shared" si="1"/>
        <v>0.65 0.138461538461538</v>
      </c>
    </row>
    <row r="13" spans="1:6">
      <c r="A13" s="201">
        <f>+ESPECTRO!B34</f>
        <v>0.70000000000000018</v>
      </c>
      <c r="B13" s="205">
        <f>+ESPECTRO!D34</f>
        <v>0.34285714285714275</v>
      </c>
      <c r="C13" s="205">
        <f>+ESPECTRO!E34</f>
        <v>0.12857142857142853</v>
      </c>
      <c r="E13" s="213" t="str">
        <f t="shared" si="0"/>
        <v>0.7 0.342857142857143</v>
      </c>
      <c r="F13" s="210" t="str">
        <f t="shared" si="1"/>
        <v>0.7 0.128571428571429</v>
      </c>
    </row>
    <row r="14" spans="1:6">
      <c r="A14" s="201">
        <f>+ESPECTRO!B35</f>
        <v>0.75000000000000022</v>
      </c>
      <c r="B14" s="205">
        <f>+ESPECTRO!D35</f>
        <v>0.3199999999999999</v>
      </c>
      <c r="C14" s="205">
        <f>+ESPECTRO!E35</f>
        <v>0.11999999999999995</v>
      </c>
      <c r="E14" s="213" t="str">
        <f t="shared" si="0"/>
        <v>0.75 0.32</v>
      </c>
      <c r="F14" s="210" t="str">
        <f t="shared" si="1"/>
        <v>0.75 0.12</v>
      </c>
    </row>
    <row r="15" spans="1:6">
      <c r="A15" s="201">
        <f>+ESPECTRO!B36</f>
        <v>0.80000000000000027</v>
      </c>
      <c r="B15" s="205">
        <f>+ESPECTRO!D36</f>
        <v>0.29999999999999993</v>
      </c>
      <c r="C15" s="205">
        <f>+ESPECTRO!E36</f>
        <v>0.11249999999999998</v>
      </c>
      <c r="E15" s="213" t="str">
        <f t="shared" si="0"/>
        <v>0.8 0.3</v>
      </c>
      <c r="F15" s="210" t="str">
        <f t="shared" si="1"/>
        <v>0.8 0.1125</v>
      </c>
    </row>
    <row r="16" spans="1:6">
      <c r="A16" s="201">
        <f>+ESPECTRO!B37</f>
        <v>0.85000000000000031</v>
      </c>
      <c r="B16" s="205">
        <f>+ESPECTRO!D37</f>
        <v>0.28235294117647047</v>
      </c>
      <c r="C16" s="205">
        <f>+ESPECTRO!E37</f>
        <v>0.10588235294117643</v>
      </c>
      <c r="E16" s="213" t="str">
        <f t="shared" si="0"/>
        <v>0.85 0.28235294117647</v>
      </c>
      <c r="F16" s="210" t="str">
        <f t="shared" si="1"/>
        <v>0.85 0.105882352941176</v>
      </c>
    </row>
    <row r="17" spans="1:6">
      <c r="A17" s="201">
        <f>+ESPECTRO!B38</f>
        <v>0.90000000000000036</v>
      </c>
      <c r="B17" s="205">
        <f>+ESPECTRO!D38</f>
        <v>0.26666666666666655</v>
      </c>
      <c r="C17" s="205">
        <f>+ESPECTRO!E38</f>
        <v>9.9999999999999964E-2</v>
      </c>
      <c r="E17" s="213" t="str">
        <f t="shared" si="0"/>
        <v>0.9 0.266666666666667</v>
      </c>
      <c r="F17" s="210" t="str">
        <f t="shared" si="1"/>
        <v>0.9 0.1</v>
      </c>
    </row>
    <row r="18" spans="1:6">
      <c r="A18" s="201">
        <f>+ESPECTRO!B39</f>
        <v>0.9500000000000004</v>
      </c>
      <c r="B18" s="205">
        <f>+ESPECTRO!D39</f>
        <v>0.25263157894736832</v>
      </c>
      <c r="C18" s="205">
        <f>+ESPECTRO!E39</f>
        <v>9.4736842105263119E-2</v>
      </c>
      <c r="E18" s="213" t="str">
        <f t="shared" si="0"/>
        <v>0.95 0.252631578947368</v>
      </c>
      <c r="F18" s="210" t="str">
        <f t="shared" si="1"/>
        <v>0.95 0.0947368421052631</v>
      </c>
    </row>
    <row r="19" spans="1:6">
      <c r="A19" s="201">
        <f>+ESPECTRO!B40</f>
        <v>1.0000000000000004</v>
      </c>
      <c r="B19" s="205">
        <f>+ESPECTRO!D40</f>
        <v>0.23999999999999988</v>
      </c>
      <c r="C19" s="205">
        <f>+ESPECTRO!E40</f>
        <v>8.9999999999999955E-2</v>
      </c>
      <c r="E19" s="213" t="str">
        <f t="shared" si="0"/>
        <v>1 0.24</v>
      </c>
      <c r="F19" s="210" t="str">
        <f t="shared" si="1"/>
        <v>1 0.09</v>
      </c>
    </row>
    <row r="20" spans="1:6">
      <c r="A20" s="201">
        <f>+ESPECTRO!B41</f>
        <v>1.0500000000000005</v>
      </c>
      <c r="B20" s="205">
        <f>+ESPECTRO!D41</f>
        <v>0.22857142857142845</v>
      </c>
      <c r="C20" s="205">
        <f>+ESPECTRO!E41</f>
        <v>8.5714285714285673E-2</v>
      </c>
      <c r="E20" s="213" t="str">
        <f t="shared" si="0"/>
        <v>1.05 0.228571428571428</v>
      </c>
      <c r="F20" s="210" t="str">
        <f t="shared" si="1"/>
        <v>1.05 0.0857142857142857</v>
      </c>
    </row>
    <row r="21" spans="1:6">
      <c r="A21" s="201">
        <f>+ESPECTRO!B42</f>
        <v>1.1000000000000005</v>
      </c>
      <c r="B21" s="205">
        <f>+ESPECTRO!D42</f>
        <v>0.21818181818181806</v>
      </c>
      <c r="C21" s="205">
        <f>+ESPECTRO!E42</f>
        <v>8.1818181818181776E-2</v>
      </c>
      <c r="E21" s="213" t="str">
        <f t="shared" si="0"/>
        <v>1.1 0.218181818181818</v>
      </c>
      <c r="F21" s="210" t="str">
        <f t="shared" si="1"/>
        <v>1.1 0.0818181818181818</v>
      </c>
    </row>
    <row r="22" spans="1:6">
      <c r="A22" s="201">
        <f>+ESPECTRO!B43</f>
        <v>1.1500000000000006</v>
      </c>
      <c r="B22" s="205">
        <f>+ESPECTRO!D43</f>
        <v>0.20869565217391292</v>
      </c>
      <c r="C22" s="205">
        <f>+ESPECTRO!E43</f>
        <v>7.8260869565217342E-2</v>
      </c>
      <c r="E22" s="213" t="str">
        <f t="shared" si="0"/>
        <v>1.15 0.208695652173913</v>
      </c>
      <c r="F22" s="210" t="str">
        <f t="shared" si="1"/>
        <v>1.15 0.0782608695652173</v>
      </c>
    </row>
    <row r="23" spans="1:6">
      <c r="A23" s="201">
        <f>+ESPECTRO!B44</f>
        <v>1.2000000000000006</v>
      </c>
      <c r="B23" s="205">
        <f>+ESPECTRO!D44</f>
        <v>0.19999999999999987</v>
      </c>
      <c r="C23" s="205">
        <f>+ESPECTRO!E44</f>
        <v>7.4999999999999956E-2</v>
      </c>
      <c r="E23" s="213" t="str">
        <f t="shared" si="0"/>
        <v>1.2 0.2</v>
      </c>
      <c r="F23" s="210" t="str">
        <f t="shared" si="1"/>
        <v>1.2 0.075</v>
      </c>
    </row>
    <row r="24" spans="1:6">
      <c r="A24" s="201">
        <f>+ESPECTRO!B45</f>
        <v>1.2500000000000007</v>
      </c>
      <c r="B24" s="205">
        <f>+ESPECTRO!D45</f>
        <v>0.19199999999999987</v>
      </c>
      <c r="C24" s="205">
        <f>+ESPECTRO!E45</f>
        <v>7.1999999999999953E-2</v>
      </c>
      <c r="E24" s="213" t="str">
        <f t="shared" si="0"/>
        <v>1.25 0.192</v>
      </c>
      <c r="F24" s="210" t="str">
        <f t="shared" si="1"/>
        <v>1.25 0.072</v>
      </c>
    </row>
    <row r="25" spans="1:6">
      <c r="A25" s="201">
        <f>+ESPECTRO!B46</f>
        <v>1.3000000000000007</v>
      </c>
      <c r="B25" s="205">
        <f>+ESPECTRO!D46</f>
        <v>0.18461538461538451</v>
      </c>
      <c r="C25" s="205">
        <f>+ESPECTRO!E46</f>
        <v>6.9230769230769193E-2</v>
      </c>
      <c r="E25" s="213" t="str">
        <f t="shared" si="0"/>
        <v>1.3 0.184615384615385</v>
      </c>
      <c r="F25" s="210" t="str">
        <f t="shared" si="1"/>
        <v>1.3 0.0692307692307692</v>
      </c>
    </row>
    <row r="26" spans="1:6">
      <c r="A26" s="201">
        <f>+ESPECTRO!B47</f>
        <v>1.3500000000000008</v>
      </c>
      <c r="B26" s="205">
        <f>+ESPECTRO!D47</f>
        <v>0.17777777777777767</v>
      </c>
      <c r="C26" s="205">
        <f>+ESPECTRO!E47</f>
        <v>6.6666666666666624E-2</v>
      </c>
      <c r="E26" s="213" t="str">
        <f t="shared" si="0"/>
        <v>1.35 0.177777777777778</v>
      </c>
      <c r="F26" s="210" t="str">
        <f t="shared" si="1"/>
        <v>1.35 0.0666666666666666</v>
      </c>
    </row>
    <row r="27" spans="1:6">
      <c r="A27" s="201">
        <f>+ESPECTRO!B48</f>
        <v>1.4000000000000008</v>
      </c>
      <c r="B27" s="205">
        <f>+ESPECTRO!D48</f>
        <v>0.17142857142857132</v>
      </c>
      <c r="C27" s="205">
        <f>+ESPECTRO!E48</f>
        <v>6.4285714285714238E-2</v>
      </c>
      <c r="E27" s="213" t="str">
        <f t="shared" si="0"/>
        <v>1.4 0.171428571428571</v>
      </c>
      <c r="F27" s="210" t="str">
        <f t="shared" si="1"/>
        <v>1.4 0.0642857142857142</v>
      </c>
    </row>
    <row r="28" spans="1:6">
      <c r="A28" s="201">
        <f>+ESPECTRO!B49</f>
        <v>1.4500000000000008</v>
      </c>
      <c r="B28" s="205">
        <f>+ESPECTRO!D49</f>
        <v>0.16551724137931023</v>
      </c>
      <c r="C28" s="205">
        <f>+ESPECTRO!E49</f>
        <v>6.2068965517241337E-2</v>
      </c>
      <c r="E28" s="213" t="str">
        <f t="shared" si="0"/>
        <v>1.45 0.16551724137931</v>
      </c>
      <c r="F28" s="210" t="str">
        <f t="shared" si="1"/>
        <v>1.45 0.0620689655172413</v>
      </c>
    </row>
    <row r="29" spans="1:6">
      <c r="A29" s="201">
        <f>+ESPECTRO!B50</f>
        <v>1.5000000000000009</v>
      </c>
      <c r="B29" s="205">
        <f>+ESPECTRO!D50</f>
        <v>0.15999999999999989</v>
      </c>
      <c r="C29" s="205">
        <f>+ESPECTRO!E50</f>
        <v>5.9999999999999963E-2</v>
      </c>
      <c r="E29" s="213" t="str">
        <f t="shared" si="0"/>
        <v>1.5 0.16</v>
      </c>
      <c r="F29" s="210" t="str">
        <f t="shared" si="1"/>
        <v>1.5 0.06</v>
      </c>
    </row>
    <row r="30" spans="1:6">
      <c r="A30" s="201">
        <f>+ESPECTRO!B51</f>
        <v>1.5500000000000009</v>
      </c>
      <c r="B30" s="205">
        <f>+ESPECTRO!D51</f>
        <v>0.15483870967741925</v>
      </c>
      <c r="C30" s="205">
        <f>+ESPECTRO!E51</f>
        <v>5.8064516129032219E-2</v>
      </c>
      <c r="E30" s="213" t="str">
        <f t="shared" si="0"/>
        <v>1.55 0.154838709677419</v>
      </c>
      <c r="F30" s="210" t="str">
        <f t="shared" si="1"/>
        <v>1.55 0.0580645161290322</v>
      </c>
    </row>
    <row r="31" spans="1:6">
      <c r="A31" s="201">
        <f>+ESPECTRO!B52</f>
        <v>1.600000000000001</v>
      </c>
      <c r="B31" s="205">
        <f>+ESPECTRO!D52</f>
        <v>0.14999999999999991</v>
      </c>
      <c r="C31" s="205">
        <f>+ESPECTRO!E52</f>
        <v>5.6249999999999967E-2</v>
      </c>
      <c r="E31" s="213" t="str">
        <f t="shared" si="0"/>
        <v>1.6 0.15</v>
      </c>
      <c r="F31" s="210" t="str">
        <f t="shared" si="1"/>
        <v>1.6 0.05625</v>
      </c>
    </row>
    <row r="32" spans="1:6">
      <c r="A32" s="201">
        <f>+ESPECTRO!B53</f>
        <v>1.650000000000001</v>
      </c>
      <c r="B32" s="205">
        <f>+ESPECTRO!D53</f>
        <v>0.14545454545454536</v>
      </c>
      <c r="C32" s="205">
        <f>+ESPECTRO!E53</f>
        <v>5.4545454545454508E-2</v>
      </c>
      <c r="E32" s="213" t="str">
        <f t="shared" si="0"/>
        <v>1.65 0.145454545454545</v>
      </c>
      <c r="F32" s="210" t="str">
        <f t="shared" si="1"/>
        <v>1.65 0.0545454545454545</v>
      </c>
    </row>
    <row r="33" spans="1:6">
      <c r="A33" s="201">
        <f>+ESPECTRO!B54</f>
        <v>1.7000000000000011</v>
      </c>
      <c r="B33" s="205">
        <f>+ESPECTRO!D54</f>
        <v>0.14117647058823518</v>
      </c>
      <c r="C33" s="205">
        <f>+ESPECTRO!E54</f>
        <v>5.2941176470588193E-2</v>
      </c>
      <c r="E33" s="213" t="str">
        <f t="shared" si="0"/>
        <v>1.7 0.141176470588235</v>
      </c>
      <c r="F33" s="210" t="str">
        <f t="shared" si="1"/>
        <v>1.7 0.0529411764705882</v>
      </c>
    </row>
    <row r="34" spans="1:6">
      <c r="A34" s="201">
        <f>+ESPECTRO!B55</f>
        <v>1.7500000000000011</v>
      </c>
      <c r="B34" s="205">
        <f>+ESPECTRO!D55</f>
        <v>0.13714285714285704</v>
      </c>
      <c r="C34" s="205">
        <f>+ESPECTRO!E55</f>
        <v>5.1428571428571386E-2</v>
      </c>
      <c r="E34" s="213" t="str">
        <f t="shared" si="0"/>
        <v>1.75 0.137142857142857</v>
      </c>
      <c r="F34" s="210" t="str">
        <f t="shared" si="1"/>
        <v>1.75 0.0514285714285714</v>
      </c>
    </row>
    <row r="35" spans="1:6">
      <c r="A35" s="201">
        <f>+ESPECTRO!B56</f>
        <v>1.8000000000000012</v>
      </c>
      <c r="B35" s="205">
        <f>+ESPECTRO!D56</f>
        <v>0.13333333333333322</v>
      </c>
      <c r="C35" s="205">
        <f>+ESPECTRO!E56</f>
        <v>4.9999999999999961E-2</v>
      </c>
      <c r="E35" s="213" t="str">
        <f t="shared" si="0"/>
        <v>1.8 0.133333333333333</v>
      </c>
      <c r="F35" s="210" t="str">
        <f t="shared" si="1"/>
        <v>1.8 0.05</v>
      </c>
    </row>
    <row r="36" spans="1:6">
      <c r="A36" s="201">
        <f>+ESPECTRO!B57</f>
        <v>1.8500000000000012</v>
      </c>
      <c r="B36" s="205">
        <f>+ESPECTRO!D57</f>
        <v>0.12972972972972963</v>
      </c>
      <c r="C36" s="205">
        <f>+ESPECTRO!E57</f>
        <v>4.8648648648648617E-2</v>
      </c>
      <c r="E36" s="213" t="str">
        <f t="shared" si="0"/>
        <v>1.85 0.12972972972973</v>
      </c>
      <c r="F36" s="210" t="str">
        <f t="shared" si="1"/>
        <v>1.85 0.0486486486486486</v>
      </c>
    </row>
    <row r="37" spans="1:6">
      <c r="A37" s="201">
        <f>+ESPECTRO!B58</f>
        <v>1.9000000000000012</v>
      </c>
      <c r="B37" s="205">
        <f>+ESPECTRO!D58</f>
        <v>0.1263157894736841</v>
      </c>
      <c r="C37" s="205">
        <f>+ESPECTRO!E58</f>
        <v>4.7368421052631539E-2</v>
      </c>
      <c r="E37" s="213" t="str">
        <f t="shared" si="0"/>
        <v>1.9 0.126315789473684</v>
      </c>
      <c r="F37" s="210" t="str">
        <f t="shared" si="1"/>
        <v>1.9 0.0473684210526315</v>
      </c>
    </row>
    <row r="38" spans="1:6">
      <c r="A38" s="201">
        <f>+ESPECTRO!B59</f>
        <v>1.9500000000000013</v>
      </c>
      <c r="B38" s="205">
        <f>+ESPECTRO!D59</f>
        <v>0.12307692307692299</v>
      </c>
      <c r="C38" s="205">
        <f>+ESPECTRO!E59</f>
        <v>4.6153846153846122E-2</v>
      </c>
      <c r="E38" s="213" t="str">
        <f t="shared" si="0"/>
        <v>1.95 0.123076923076923</v>
      </c>
      <c r="F38" s="210" t="str">
        <f t="shared" si="1"/>
        <v>1.95 0.0461538461538461</v>
      </c>
    </row>
    <row r="39" spans="1:6">
      <c r="A39" s="201">
        <f>+ESPECTRO!B60</f>
        <v>2.0000000000000013</v>
      </c>
      <c r="B39" s="205">
        <f>+ESPECTRO!D60</f>
        <v>0.11999999999999991</v>
      </c>
      <c r="C39" s="205">
        <f>+ESPECTRO!E60</f>
        <v>4.4999999999999964E-2</v>
      </c>
      <c r="E39" s="213" t="str">
        <f t="shared" si="0"/>
        <v>2 0.12</v>
      </c>
      <c r="F39" s="210" t="str">
        <f t="shared" si="1"/>
        <v>2 0.045</v>
      </c>
    </row>
    <row r="40" spans="1:6">
      <c r="A40" s="201">
        <f>+ESPECTRO!B61</f>
        <v>2.0500000000000012</v>
      </c>
      <c r="B40" s="205">
        <f>+ESPECTRO!D61</f>
        <v>0.11707317073170725</v>
      </c>
      <c r="C40" s="205">
        <f>+ESPECTRO!E61</f>
        <v>4.390243902439022E-2</v>
      </c>
      <c r="E40" s="213" t="str">
        <f t="shared" si="0"/>
        <v>2.05 0.117073170731707</v>
      </c>
      <c r="F40" s="210" t="str">
        <f t="shared" si="1"/>
        <v>2.05 0.0439024390243902</v>
      </c>
    </row>
    <row r="41" spans="1:6">
      <c r="A41" s="201">
        <f>+ESPECTRO!B62</f>
        <v>2.100000000000001</v>
      </c>
      <c r="B41" s="205">
        <f>+ESPECTRO!D62</f>
        <v>0.11428571428571423</v>
      </c>
      <c r="C41" s="205">
        <f>+ESPECTRO!E62</f>
        <v>4.2857142857142837E-2</v>
      </c>
      <c r="E41" s="213" t="str">
        <f t="shared" si="0"/>
        <v>2.1 0.114285714285714</v>
      </c>
      <c r="F41" s="210" t="str">
        <f t="shared" si="1"/>
        <v>2.1 0.0428571428571428</v>
      </c>
    </row>
    <row r="42" spans="1:6">
      <c r="A42" s="201">
        <f>+ESPECTRO!B63</f>
        <v>2.1500000000000008</v>
      </c>
      <c r="B42" s="205">
        <f>+ESPECTRO!D63</f>
        <v>0.11162790697674413</v>
      </c>
      <c r="C42" s="205">
        <f>+ESPECTRO!E63</f>
        <v>4.1860465116279048E-2</v>
      </c>
      <c r="E42" s="213" t="str">
        <f t="shared" si="0"/>
        <v>2.15 0.111627906976744</v>
      </c>
      <c r="F42" s="210" t="str">
        <f t="shared" si="1"/>
        <v>2.15 0.041860465116279</v>
      </c>
    </row>
    <row r="43" spans="1:6">
      <c r="A43" s="201">
        <f>+ESPECTRO!B64</f>
        <v>2.2000000000000006</v>
      </c>
      <c r="B43" s="205">
        <f>+ESPECTRO!D64</f>
        <v>0.10909090909090907</v>
      </c>
      <c r="C43" s="205">
        <f>+ESPECTRO!E64</f>
        <v>4.0909090909090902E-2</v>
      </c>
      <c r="E43" s="213" t="str">
        <f t="shared" si="0"/>
        <v>2.2 0.109090909090909</v>
      </c>
      <c r="F43" s="210" t="str">
        <f t="shared" si="1"/>
        <v>2.2 0.0409090909090909</v>
      </c>
    </row>
    <row r="44" spans="1:6">
      <c r="A44" s="201">
        <f>+ESPECTRO!B65</f>
        <v>2.2500000000000004</v>
      </c>
      <c r="B44" s="205">
        <f>+ESPECTRO!D65</f>
        <v>0.10666666666666663</v>
      </c>
      <c r="C44" s="205">
        <f>+ESPECTRO!E65</f>
        <v>3.9999999999999987E-2</v>
      </c>
      <c r="E44" s="213" t="str">
        <f t="shared" si="0"/>
        <v>2.25 0.106666666666667</v>
      </c>
      <c r="F44" s="210" t="str">
        <f t="shared" si="1"/>
        <v>2.25 0.04</v>
      </c>
    </row>
    <row r="45" spans="1:6">
      <c r="A45" s="201">
        <f>+ESPECTRO!B66</f>
        <v>2.3000000000000003</v>
      </c>
      <c r="B45" s="205">
        <f>+ESPECTRO!D66</f>
        <v>0.10434782608695649</v>
      </c>
      <c r="C45" s="205">
        <f>+ESPECTRO!E66</f>
        <v>3.9130434782608685E-2</v>
      </c>
      <c r="E45" s="213" t="str">
        <f t="shared" si="0"/>
        <v>2.3 0.104347826086956</v>
      </c>
      <c r="F45" s="210" t="str">
        <f t="shared" si="1"/>
        <v>2.3 0.0391304347826087</v>
      </c>
    </row>
    <row r="46" spans="1:6">
      <c r="A46" s="201">
        <f>+ESPECTRO!B67</f>
        <v>2.35</v>
      </c>
      <c r="B46" s="205">
        <f>+ESPECTRO!D67</f>
        <v>0.10212765957446807</v>
      </c>
      <c r="C46" s="205">
        <f>+ESPECTRO!E67</f>
        <v>3.8297872340425525E-2</v>
      </c>
      <c r="E46" s="213" t="str">
        <f t="shared" si="0"/>
        <v>2.35 0.102127659574468</v>
      </c>
      <c r="F46" s="210" t="str">
        <f t="shared" si="1"/>
        <v>2.35 0.0382978723404255</v>
      </c>
    </row>
    <row r="47" spans="1:6">
      <c r="A47" s="201">
        <f>+ESPECTRO!B68</f>
        <v>2.4</v>
      </c>
      <c r="B47" s="205">
        <f>+ESPECTRO!D68</f>
        <v>9.9999999999999992E-2</v>
      </c>
      <c r="C47" s="205">
        <f>+ESPECTRO!E68</f>
        <v>3.7499999999999999E-2</v>
      </c>
      <c r="E47" s="213" t="str">
        <f t="shared" si="0"/>
        <v>2.4 0.1</v>
      </c>
      <c r="F47" s="210" t="str">
        <f t="shared" si="1"/>
        <v>2.4 0.0375</v>
      </c>
    </row>
    <row r="48" spans="1:6">
      <c r="A48" s="201">
        <f>+ESPECTRO!B69</f>
        <v>2.4499999999999997</v>
      </c>
      <c r="B48" s="205">
        <f>+ESPECTRO!D69</f>
        <v>9.7959183673469397E-2</v>
      </c>
      <c r="C48" s="205">
        <f>+ESPECTRO!E69</f>
        <v>3.6734693877551024E-2</v>
      </c>
      <c r="E48" s="213" t="str">
        <f t="shared" si="0"/>
        <v>2.45 0.0979591836734694</v>
      </c>
      <c r="F48" s="210" t="str">
        <f t="shared" si="1"/>
        <v>2.45 0.036734693877551</v>
      </c>
    </row>
    <row r="49" spans="1:6" ht="15.75" thickBot="1">
      <c r="A49" s="201">
        <f>+ESPECTRO!B70</f>
        <v>2.4999999999999996</v>
      </c>
      <c r="B49" s="205">
        <f>+ESPECTRO!D70</f>
        <v>9.6000000000000016E-2</v>
      </c>
      <c r="C49" s="205">
        <f>+ESPECTRO!E70</f>
        <v>3.6000000000000004E-2</v>
      </c>
      <c r="E49" s="214" t="str">
        <f t="shared" si="0"/>
        <v>2.5 0.096</v>
      </c>
      <c r="F49" s="211" t="str">
        <f t="shared" si="1"/>
        <v>2.5 0.036</v>
      </c>
    </row>
  </sheetData>
  <mergeCells count="2">
    <mergeCell ref="A2:C2"/>
    <mergeCell ref="E2:F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B2:M25"/>
  <sheetViews>
    <sheetView workbookViewId="0">
      <selection activeCell="E19" sqref="E19"/>
    </sheetView>
  </sheetViews>
  <sheetFormatPr baseColWidth="10" defaultRowHeight="15"/>
  <cols>
    <col min="1" max="1" width="5.5703125" customWidth="1"/>
    <col min="5" max="5" width="22.7109375" bestFit="1" customWidth="1"/>
    <col min="6" max="6" width="24.7109375" bestFit="1" customWidth="1"/>
    <col min="8" max="8" width="10.7109375" bestFit="1" customWidth="1"/>
    <col min="9" max="9" width="29" bestFit="1" customWidth="1"/>
    <col min="12" max="12" width="28.85546875" bestFit="1" customWidth="1"/>
    <col min="13" max="13" width="27.85546875" customWidth="1"/>
  </cols>
  <sheetData>
    <row r="2" spans="2:13" ht="15.75" thickBot="1"/>
    <row r="3" spans="2:13" ht="15.75" thickTop="1">
      <c r="B3" s="7" t="s">
        <v>14</v>
      </c>
      <c r="C3" s="8" t="s">
        <v>15</v>
      </c>
      <c r="E3" s="13" t="s">
        <v>16</v>
      </c>
      <c r="F3" s="14" t="s">
        <v>17</v>
      </c>
      <c r="H3" s="7" t="s">
        <v>1</v>
      </c>
      <c r="I3" s="20" t="s">
        <v>26</v>
      </c>
      <c r="J3" s="8" t="s">
        <v>27</v>
      </c>
      <c r="L3" s="30" t="s">
        <v>45</v>
      </c>
      <c r="M3" s="31" t="s">
        <v>46</v>
      </c>
    </row>
    <row r="4" spans="2:13">
      <c r="B4" s="5">
        <v>17</v>
      </c>
      <c r="C4" s="6">
        <v>280</v>
      </c>
      <c r="E4" s="5" t="s">
        <v>18</v>
      </c>
      <c r="F4" s="6">
        <v>30</v>
      </c>
      <c r="H4" s="18" t="s">
        <v>28</v>
      </c>
      <c r="I4" s="19" t="s">
        <v>34</v>
      </c>
      <c r="J4" s="6">
        <v>300</v>
      </c>
      <c r="L4" s="32" t="s">
        <v>47</v>
      </c>
      <c r="M4" s="33"/>
    </row>
    <row r="5" spans="2:13">
      <c r="B5" s="11">
        <v>20</v>
      </c>
      <c r="C5" s="12">
        <v>300</v>
      </c>
      <c r="E5" s="1" t="s">
        <v>19</v>
      </c>
      <c r="F5" s="2">
        <v>60</v>
      </c>
      <c r="H5" s="15"/>
      <c r="I5" s="16" t="s">
        <v>35</v>
      </c>
      <c r="J5" s="2">
        <v>750</v>
      </c>
      <c r="L5" s="15" t="s">
        <v>48</v>
      </c>
      <c r="M5" s="26">
        <v>300</v>
      </c>
    </row>
    <row r="6" spans="2:13">
      <c r="B6" s="9">
        <v>25</v>
      </c>
      <c r="C6" s="10">
        <v>350</v>
      </c>
      <c r="E6" s="1" t="s">
        <v>20</v>
      </c>
      <c r="F6" s="2">
        <v>90</v>
      </c>
      <c r="H6" s="15" t="s">
        <v>29</v>
      </c>
      <c r="I6" s="16" t="s">
        <v>36</v>
      </c>
      <c r="J6" s="2">
        <v>300</v>
      </c>
      <c r="L6" s="15" t="s">
        <v>49</v>
      </c>
      <c r="M6" s="26">
        <v>200</v>
      </c>
    </row>
    <row r="7" spans="2:13">
      <c r="B7" s="1">
        <v>30</v>
      </c>
      <c r="C7" s="2">
        <v>420</v>
      </c>
      <c r="E7" s="1" t="s">
        <v>21</v>
      </c>
      <c r="F7" s="2">
        <v>150</v>
      </c>
      <c r="H7" s="15"/>
      <c r="I7" s="16" t="s">
        <v>37</v>
      </c>
      <c r="J7" s="2">
        <v>350</v>
      </c>
      <c r="L7" s="15" t="s">
        <v>50</v>
      </c>
      <c r="M7" s="26">
        <v>200</v>
      </c>
    </row>
    <row r="8" spans="2:13" ht="15.75" thickBot="1">
      <c r="B8" s="3">
        <v>35</v>
      </c>
      <c r="C8" s="4">
        <v>475</v>
      </c>
      <c r="E8" s="1" t="s">
        <v>22</v>
      </c>
      <c r="F8" s="2">
        <v>210</v>
      </c>
      <c r="H8" s="15" t="s">
        <v>30</v>
      </c>
      <c r="I8" s="16" t="s">
        <v>38</v>
      </c>
      <c r="J8" s="2">
        <v>200</v>
      </c>
      <c r="L8" s="34" t="s">
        <v>51</v>
      </c>
      <c r="M8" s="35">
        <v>600</v>
      </c>
    </row>
    <row r="9" spans="2:13" ht="15.75" thickTop="1">
      <c r="E9" s="9" t="s">
        <v>23</v>
      </c>
      <c r="F9" s="10">
        <v>270</v>
      </c>
      <c r="H9" s="15"/>
      <c r="I9" s="16" t="s">
        <v>39</v>
      </c>
      <c r="J9" s="2">
        <v>300</v>
      </c>
      <c r="L9" s="32" t="s">
        <v>52</v>
      </c>
      <c r="M9" s="33"/>
    </row>
    <row r="10" spans="2:13">
      <c r="E10" s="1" t="s">
        <v>24</v>
      </c>
      <c r="F10" s="2">
        <v>330</v>
      </c>
      <c r="H10" s="15" t="s">
        <v>31</v>
      </c>
      <c r="I10" s="16" t="s">
        <v>40</v>
      </c>
      <c r="J10" s="2">
        <v>250</v>
      </c>
      <c r="L10" s="15" t="s">
        <v>53</v>
      </c>
      <c r="M10" s="26">
        <v>1600</v>
      </c>
    </row>
    <row r="11" spans="2:13" ht="15.75" thickBot="1">
      <c r="E11" s="3" t="s">
        <v>25</v>
      </c>
      <c r="F11" s="4">
        <v>390</v>
      </c>
      <c r="H11" s="15"/>
      <c r="I11" s="16" t="s">
        <v>41</v>
      </c>
      <c r="J11" s="2">
        <v>500</v>
      </c>
      <c r="L11" s="15" t="s">
        <v>54</v>
      </c>
      <c r="M11" s="26">
        <v>1800</v>
      </c>
    </row>
    <row r="12" spans="2:13" ht="15.75" thickTop="1">
      <c r="H12" s="21" t="s">
        <v>33</v>
      </c>
      <c r="I12" s="22" t="s">
        <v>42</v>
      </c>
      <c r="J12" s="10">
        <v>500</v>
      </c>
      <c r="L12" s="36" t="s">
        <v>55</v>
      </c>
      <c r="M12" s="37">
        <v>1350</v>
      </c>
    </row>
    <row r="13" spans="2:13">
      <c r="E13" s="44"/>
      <c r="H13" s="15" t="s">
        <v>32</v>
      </c>
      <c r="I13" s="16" t="s">
        <v>42</v>
      </c>
      <c r="J13" s="2">
        <v>200</v>
      </c>
      <c r="L13" s="32" t="s">
        <v>56</v>
      </c>
      <c r="M13" s="33"/>
    </row>
    <row r="14" spans="2:13" ht="15.75" thickBot="1">
      <c r="H14" s="23" t="s">
        <v>43</v>
      </c>
      <c r="I14" s="24" t="s">
        <v>44</v>
      </c>
      <c r="J14" s="25">
        <v>100</v>
      </c>
      <c r="L14" s="15" t="s">
        <v>57</v>
      </c>
      <c r="M14" s="26">
        <v>2300</v>
      </c>
    </row>
    <row r="15" spans="2:13" ht="15.75" thickTop="1">
      <c r="L15" s="15" t="s">
        <v>58</v>
      </c>
      <c r="M15" s="26">
        <v>1800</v>
      </c>
    </row>
    <row r="16" spans="2:13">
      <c r="L16" s="34" t="s">
        <v>59</v>
      </c>
      <c r="M16" s="35">
        <v>1600</v>
      </c>
    </row>
    <row r="17" spans="6:13" ht="30">
      <c r="L17" s="38" t="s">
        <v>67</v>
      </c>
      <c r="M17" s="39" t="s">
        <v>68</v>
      </c>
    </row>
    <row r="18" spans="6:13">
      <c r="L18" s="32" t="s">
        <v>60</v>
      </c>
      <c r="M18" s="33"/>
    </row>
    <row r="19" spans="6:13">
      <c r="L19" s="15" t="s">
        <v>61</v>
      </c>
      <c r="M19" s="26">
        <v>2000</v>
      </c>
    </row>
    <row r="20" spans="6:13" ht="45">
      <c r="F20" s="42" t="s">
        <v>70</v>
      </c>
      <c r="G20" s="42" t="s">
        <v>73</v>
      </c>
      <c r="H20" s="42" t="s">
        <v>75</v>
      </c>
      <c r="I20" s="42" t="s">
        <v>77</v>
      </c>
      <c r="L20" s="15" t="s">
        <v>62</v>
      </c>
      <c r="M20" s="26">
        <v>1850</v>
      </c>
    </row>
    <row r="21" spans="6:13">
      <c r="F21" s="41" t="s">
        <v>71</v>
      </c>
      <c r="G21" s="43">
        <v>250</v>
      </c>
      <c r="H21" s="43">
        <v>500</v>
      </c>
      <c r="I21" s="43">
        <v>1000</v>
      </c>
      <c r="L21" s="15" t="s">
        <v>63</v>
      </c>
      <c r="M21" s="26">
        <v>1700</v>
      </c>
    </row>
    <row r="22" spans="6:13">
      <c r="F22" s="41" t="s">
        <v>72</v>
      </c>
      <c r="G22" s="43" t="s">
        <v>74</v>
      </c>
      <c r="H22" s="43" t="s">
        <v>76</v>
      </c>
      <c r="I22" s="43" t="s">
        <v>78</v>
      </c>
      <c r="L22" s="34" t="s">
        <v>64</v>
      </c>
      <c r="M22" s="35">
        <v>1000</v>
      </c>
    </row>
    <row r="23" spans="6:13">
      <c r="L23" s="28" t="s">
        <v>65</v>
      </c>
      <c r="M23" s="29"/>
    </row>
    <row r="24" spans="6:13" ht="15.75" thickBot="1">
      <c r="L24" s="17" t="s">
        <v>66</v>
      </c>
      <c r="M24" s="27">
        <v>1000</v>
      </c>
    </row>
    <row r="25" spans="6:13" ht="15.75" thickTop="1"/>
  </sheetData>
  <pageMargins left="0.7" right="0.7" top="0.75" bottom="0.75" header="0.3" footer="0.3"/>
  <pageSetup orientation="portrait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7"/>
  <dimension ref="A2:G53"/>
  <sheetViews>
    <sheetView workbookViewId="0">
      <selection activeCell="G11" sqref="G11"/>
    </sheetView>
  </sheetViews>
  <sheetFormatPr baseColWidth="10" defaultRowHeight="12.75"/>
  <cols>
    <col min="1" max="1" width="46.7109375" style="90" customWidth="1"/>
    <col min="2" max="2" width="16.85546875" style="84" customWidth="1"/>
    <col min="3" max="3" width="16.140625" style="84" customWidth="1"/>
    <col min="4" max="5" width="22.42578125" style="84" customWidth="1"/>
    <col min="6" max="254" width="11.42578125" style="84"/>
    <col min="255" max="255" width="20" style="84" customWidth="1"/>
    <col min="256" max="256" width="45.28515625" style="84" customWidth="1"/>
    <col min="257" max="510" width="11.42578125" style="84"/>
    <col min="511" max="511" width="20" style="84" customWidth="1"/>
    <col min="512" max="512" width="45.28515625" style="84" customWidth="1"/>
    <col min="513" max="766" width="11.42578125" style="84"/>
    <col min="767" max="767" width="20" style="84" customWidth="1"/>
    <col min="768" max="768" width="45.28515625" style="84" customWidth="1"/>
    <col min="769" max="1022" width="11.42578125" style="84"/>
    <col min="1023" max="1023" width="20" style="84" customWidth="1"/>
    <col min="1024" max="1024" width="45.28515625" style="84" customWidth="1"/>
    <col min="1025" max="1278" width="11.42578125" style="84"/>
    <col min="1279" max="1279" width="20" style="84" customWidth="1"/>
    <col min="1280" max="1280" width="45.28515625" style="84" customWidth="1"/>
    <col min="1281" max="1534" width="11.42578125" style="84"/>
    <col min="1535" max="1535" width="20" style="84" customWidth="1"/>
    <col min="1536" max="1536" width="45.28515625" style="84" customWidth="1"/>
    <col min="1537" max="1790" width="11.42578125" style="84"/>
    <col min="1791" max="1791" width="20" style="84" customWidth="1"/>
    <col min="1792" max="1792" width="45.28515625" style="84" customWidth="1"/>
    <col min="1793" max="2046" width="11.42578125" style="84"/>
    <col min="2047" max="2047" width="20" style="84" customWidth="1"/>
    <col min="2048" max="2048" width="45.28515625" style="84" customWidth="1"/>
    <col min="2049" max="2302" width="11.42578125" style="84"/>
    <col min="2303" max="2303" width="20" style="84" customWidth="1"/>
    <col min="2304" max="2304" width="45.28515625" style="84" customWidth="1"/>
    <col min="2305" max="2558" width="11.42578125" style="84"/>
    <col min="2559" max="2559" width="20" style="84" customWidth="1"/>
    <col min="2560" max="2560" width="45.28515625" style="84" customWidth="1"/>
    <col min="2561" max="2814" width="11.42578125" style="84"/>
    <col min="2815" max="2815" width="20" style="84" customWidth="1"/>
    <col min="2816" max="2816" width="45.28515625" style="84" customWidth="1"/>
    <col min="2817" max="3070" width="11.42578125" style="84"/>
    <col min="3071" max="3071" width="20" style="84" customWidth="1"/>
    <col min="3072" max="3072" width="45.28515625" style="84" customWidth="1"/>
    <col min="3073" max="3326" width="11.42578125" style="84"/>
    <col min="3327" max="3327" width="20" style="84" customWidth="1"/>
    <col min="3328" max="3328" width="45.28515625" style="84" customWidth="1"/>
    <col min="3329" max="3582" width="11.42578125" style="84"/>
    <col min="3583" max="3583" width="20" style="84" customWidth="1"/>
    <col min="3584" max="3584" width="45.28515625" style="84" customWidth="1"/>
    <col min="3585" max="3838" width="11.42578125" style="84"/>
    <col min="3839" max="3839" width="20" style="84" customWidth="1"/>
    <col min="3840" max="3840" width="45.28515625" style="84" customWidth="1"/>
    <col min="3841" max="4094" width="11.42578125" style="84"/>
    <col min="4095" max="4095" width="20" style="84" customWidth="1"/>
    <col min="4096" max="4096" width="45.28515625" style="84" customWidth="1"/>
    <col min="4097" max="4350" width="11.42578125" style="84"/>
    <col min="4351" max="4351" width="20" style="84" customWidth="1"/>
    <col min="4352" max="4352" width="45.28515625" style="84" customWidth="1"/>
    <col min="4353" max="4606" width="11.42578125" style="84"/>
    <col min="4607" max="4607" width="20" style="84" customWidth="1"/>
    <col min="4608" max="4608" width="45.28515625" style="84" customWidth="1"/>
    <col min="4609" max="4862" width="11.42578125" style="84"/>
    <col min="4863" max="4863" width="20" style="84" customWidth="1"/>
    <col min="4864" max="4864" width="45.28515625" style="84" customWidth="1"/>
    <col min="4865" max="5118" width="11.42578125" style="84"/>
    <col min="5119" max="5119" width="20" style="84" customWidth="1"/>
    <col min="5120" max="5120" width="45.28515625" style="84" customWidth="1"/>
    <col min="5121" max="5374" width="11.42578125" style="84"/>
    <col min="5375" max="5375" width="20" style="84" customWidth="1"/>
    <col min="5376" max="5376" width="45.28515625" style="84" customWidth="1"/>
    <col min="5377" max="5630" width="11.42578125" style="84"/>
    <col min="5631" max="5631" width="20" style="84" customWidth="1"/>
    <col min="5632" max="5632" width="45.28515625" style="84" customWidth="1"/>
    <col min="5633" max="5886" width="11.42578125" style="84"/>
    <col min="5887" max="5887" width="20" style="84" customWidth="1"/>
    <col min="5888" max="5888" width="45.28515625" style="84" customWidth="1"/>
    <col min="5889" max="6142" width="11.42578125" style="84"/>
    <col min="6143" max="6143" width="20" style="84" customWidth="1"/>
    <col min="6144" max="6144" width="45.28515625" style="84" customWidth="1"/>
    <col min="6145" max="6398" width="11.42578125" style="84"/>
    <col min="6399" max="6399" width="20" style="84" customWidth="1"/>
    <col min="6400" max="6400" width="45.28515625" style="84" customWidth="1"/>
    <col min="6401" max="6654" width="11.42578125" style="84"/>
    <col min="6655" max="6655" width="20" style="84" customWidth="1"/>
    <col min="6656" max="6656" width="45.28515625" style="84" customWidth="1"/>
    <col min="6657" max="6910" width="11.42578125" style="84"/>
    <col min="6911" max="6911" width="20" style="84" customWidth="1"/>
    <col min="6912" max="6912" width="45.28515625" style="84" customWidth="1"/>
    <col min="6913" max="7166" width="11.42578125" style="84"/>
    <col min="7167" max="7167" width="20" style="84" customWidth="1"/>
    <col min="7168" max="7168" width="45.28515625" style="84" customWidth="1"/>
    <col min="7169" max="7422" width="11.42578125" style="84"/>
    <col min="7423" max="7423" width="20" style="84" customWidth="1"/>
    <col min="7424" max="7424" width="45.28515625" style="84" customWidth="1"/>
    <col min="7425" max="7678" width="11.42578125" style="84"/>
    <col min="7679" max="7679" width="20" style="84" customWidth="1"/>
    <col min="7680" max="7680" width="45.28515625" style="84" customWidth="1"/>
    <col min="7681" max="7934" width="11.42578125" style="84"/>
    <col min="7935" max="7935" width="20" style="84" customWidth="1"/>
    <col min="7936" max="7936" width="45.28515625" style="84" customWidth="1"/>
    <col min="7937" max="8190" width="11.42578125" style="84"/>
    <col min="8191" max="8191" width="20" style="84" customWidth="1"/>
    <col min="8192" max="8192" width="45.28515625" style="84" customWidth="1"/>
    <col min="8193" max="8446" width="11.42578125" style="84"/>
    <col min="8447" max="8447" width="20" style="84" customWidth="1"/>
    <col min="8448" max="8448" width="45.28515625" style="84" customWidth="1"/>
    <col min="8449" max="8702" width="11.42578125" style="84"/>
    <col min="8703" max="8703" width="20" style="84" customWidth="1"/>
    <col min="8704" max="8704" width="45.28515625" style="84" customWidth="1"/>
    <col min="8705" max="8958" width="11.42578125" style="84"/>
    <col min="8959" max="8959" width="20" style="84" customWidth="1"/>
    <col min="8960" max="8960" width="45.28515625" style="84" customWidth="1"/>
    <col min="8961" max="9214" width="11.42578125" style="84"/>
    <col min="9215" max="9215" width="20" style="84" customWidth="1"/>
    <col min="9216" max="9216" width="45.28515625" style="84" customWidth="1"/>
    <col min="9217" max="9470" width="11.42578125" style="84"/>
    <col min="9471" max="9471" width="20" style="84" customWidth="1"/>
    <col min="9472" max="9472" width="45.28515625" style="84" customWidth="1"/>
    <col min="9473" max="9726" width="11.42578125" style="84"/>
    <col min="9727" max="9727" width="20" style="84" customWidth="1"/>
    <col min="9728" max="9728" width="45.28515625" style="84" customWidth="1"/>
    <col min="9729" max="9982" width="11.42578125" style="84"/>
    <col min="9983" max="9983" width="20" style="84" customWidth="1"/>
    <col min="9984" max="9984" width="45.28515625" style="84" customWidth="1"/>
    <col min="9985" max="10238" width="11.42578125" style="84"/>
    <col min="10239" max="10239" width="20" style="84" customWidth="1"/>
    <col min="10240" max="10240" width="45.28515625" style="84" customWidth="1"/>
    <col min="10241" max="10494" width="11.42578125" style="84"/>
    <col min="10495" max="10495" width="20" style="84" customWidth="1"/>
    <col min="10496" max="10496" width="45.28515625" style="84" customWidth="1"/>
    <col min="10497" max="10750" width="11.42578125" style="84"/>
    <col min="10751" max="10751" width="20" style="84" customWidth="1"/>
    <col min="10752" max="10752" width="45.28515625" style="84" customWidth="1"/>
    <col min="10753" max="11006" width="11.42578125" style="84"/>
    <col min="11007" max="11007" width="20" style="84" customWidth="1"/>
    <col min="11008" max="11008" width="45.28515625" style="84" customWidth="1"/>
    <col min="11009" max="11262" width="11.42578125" style="84"/>
    <col min="11263" max="11263" width="20" style="84" customWidth="1"/>
    <col min="11264" max="11264" width="45.28515625" style="84" customWidth="1"/>
    <col min="11265" max="11518" width="11.42578125" style="84"/>
    <col min="11519" max="11519" width="20" style="84" customWidth="1"/>
    <col min="11520" max="11520" width="45.28515625" style="84" customWidth="1"/>
    <col min="11521" max="11774" width="11.42578125" style="84"/>
    <col min="11775" max="11775" width="20" style="84" customWidth="1"/>
    <col min="11776" max="11776" width="45.28515625" style="84" customWidth="1"/>
    <col min="11777" max="12030" width="11.42578125" style="84"/>
    <col min="12031" max="12031" width="20" style="84" customWidth="1"/>
    <col min="12032" max="12032" width="45.28515625" style="84" customWidth="1"/>
    <col min="12033" max="12286" width="11.42578125" style="84"/>
    <col min="12287" max="12287" width="20" style="84" customWidth="1"/>
    <col min="12288" max="12288" width="45.28515625" style="84" customWidth="1"/>
    <col min="12289" max="12542" width="11.42578125" style="84"/>
    <col min="12543" max="12543" width="20" style="84" customWidth="1"/>
    <col min="12544" max="12544" width="45.28515625" style="84" customWidth="1"/>
    <col min="12545" max="12798" width="11.42578125" style="84"/>
    <col min="12799" max="12799" width="20" style="84" customWidth="1"/>
    <col min="12800" max="12800" width="45.28515625" style="84" customWidth="1"/>
    <col min="12801" max="13054" width="11.42578125" style="84"/>
    <col min="13055" max="13055" width="20" style="84" customWidth="1"/>
    <col min="13056" max="13056" width="45.28515625" style="84" customWidth="1"/>
    <col min="13057" max="13310" width="11.42578125" style="84"/>
    <col min="13311" max="13311" width="20" style="84" customWidth="1"/>
    <col min="13312" max="13312" width="45.28515625" style="84" customWidth="1"/>
    <col min="13313" max="13566" width="11.42578125" style="84"/>
    <col min="13567" max="13567" width="20" style="84" customWidth="1"/>
    <col min="13568" max="13568" width="45.28515625" style="84" customWidth="1"/>
    <col min="13569" max="13822" width="11.42578125" style="84"/>
    <col min="13823" max="13823" width="20" style="84" customWidth="1"/>
    <col min="13824" max="13824" width="45.28515625" style="84" customWidth="1"/>
    <col min="13825" max="14078" width="11.42578125" style="84"/>
    <col min="14079" max="14079" width="20" style="84" customWidth="1"/>
    <col min="14080" max="14080" width="45.28515625" style="84" customWidth="1"/>
    <col min="14081" max="14334" width="11.42578125" style="84"/>
    <col min="14335" max="14335" width="20" style="84" customWidth="1"/>
    <col min="14336" max="14336" width="45.28515625" style="84" customWidth="1"/>
    <col min="14337" max="14590" width="11.42578125" style="84"/>
    <col min="14591" max="14591" width="20" style="84" customWidth="1"/>
    <col min="14592" max="14592" width="45.28515625" style="84" customWidth="1"/>
    <col min="14593" max="14846" width="11.42578125" style="84"/>
    <col min="14847" max="14847" width="20" style="84" customWidth="1"/>
    <col min="14848" max="14848" width="45.28515625" style="84" customWidth="1"/>
    <col min="14849" max="15102" width="11.42578125" style="84"/>
    <col min="15103" max="15103" width="20" style="84" customWidth="1"/>
    <col min="15104" max="15104" width="45.28515625" style="84" customWidth="1"/>
    <col min="15105" max="15358" width="11.42578125" style="84"/>
    <col min="15359" max="15359" width="20" style="84" customWidth="1"/>
    <col min="15360" max="15360" width="45.28515625" style="84" customWidth="1"/>
    <col min="15361" max="15614" width="11.42578125" style="84"/>
    <col min="15615" max="15615" width="20" style="84" customWidth="1"/>
    <col min="15616" max="15616" width="45.28515625" style="84" customWidth="1"/>
    <col min="15617" max="15870" width="11.42578125" style="84"/>
    <col min="15871" max="15871" width="20" style="84" customWidth="1"/>
    <col min="15872" max="15872" width="45.28515625" style="84" customWidth="1"/>
    <col min="15873" max="16126" width="11.42578125" style="84"/>
    <col min="16127" max="16127" width="20" style="84" customWidth="1"/>
    <col min="16128" max="16128" width="45.28515625" style="84" customWidth="1"/>
    <col min="16129" max="16384" width="11.42578125" style="84"/>
  </cols>
  <sheetData>
    <row r="2" spans="1:4">
      <c r="A2" s="96" t="s">
        <v>111</v>
      </c>
      <c r="B2" s="96" t="s">
        <v>112</v>
      </c>
    </row>
    <row r="4" spans="1:4">
      <c r="A4" s="83" t="s">
        <v>113</v>
      </c>
      <c r="B4" s="85">
        <v>1.5</v>
      </c>
      <c r="C4" s="261" t="s">
        <v>145</v>
      </c>
      <c r="D4" s="261"/>
    </row>
    <row r="5" spans="1:4">
      <c r="A5" s="83" t="s">
        <v>114</v>
      </c>
      <c r="B5" s="85">
        <v>1.3</v>
      </c>
      <c r="C5" s="261" t="s">
        <v>146</v>
      </c>
      <c r="D5" s="261"/>
    </row>
    <row r="6" spans="1:4">
      <c r="A6" s="83" t="s">
        <v>115</v>
      </c>
      <c r="B6" s="86">
        <v>1</v>
      </c>
      <c r="C6" s="261" t="s">
        <v>147</v>
      </c>
      <c r="D6" s="261"/>
    </row>
    <row r="7" spans="1:4">
      <c r="A7" s="83" t="s">
        <v>116</v>
      </c>
      <c r="B7" s="87">
        <v>0.6</v>
      </c>
      <c r="C7" s="261" t="s">
        <v>148</v>
      </c>
      <c r="D7" s="261"/>
    </row>
    <row r="8" spans="1:4">
      <c r="A8" s="262" t="s">
        <v>154</v>
      </c>
      <c r="B8" s="262"/>
      <c r="C8" s="262"/>
      <c r="D8" s="262"/>
    </row>
    <row r="9" spans="1:4">
      <c r="A9" s="263" t="s">
        <v>155</v>
      </c>
      <c r="B9" s="263"/>
      <c r="C9" s="263"/>
      <c r="D9" s="263"/>
    </row>
    <row r="10" spans="1:4">
      <c r="A10" s="144"/>
      <c r="B10" s="144"/>
      <c r="C10" s="144"/>
      <c r="D10" s="144"/>
    </row>
    <row r="11" spans="1:4">
      <c r="A11" s="96" t="s">
        <v>117</v>
      </c>
      <c r="B11" s="96" t="s">
        <v>118</v>
      </c>
    </row>
    <row r="13" spans="1:4">
      <c r="A13" s="83">
        <v>1</v>
      </c>
      <c r="B13" s="88">
        <v>0.15</v>
      </c>
    </row>
    <row r="14" spans="1:4">
      <c r="A14" s="83">
        <v>2</v>
      </c>
      <c r="B14" s="88">
        <v>0.3</v>
      </c>
    </row>
    <row r="15" spans="1:4">
      <c r="A15" s="83">
        <v>3</v>
      </c>
      <c r="B15" s="88">
        <v>0.4</v>
      </c>
    </row>
    <row r="18" spans="1:7" s="90" customFormat="1" ht="15">
      <c r="A18" s="96" t="s">
        <v>119</v>
      </c>
      <c r="B18" s="96" t="s">
        <v>131</v>
      </c>
      <c r="C18" s="96" t="s">
        <v>120</v>
      </c>
      <c r="D18" s="89"/>
      <c r="E18" s="84"/>
      <c r="F18" s="84"/>
    </row>
    <row r="19" spans="1:7">
      <c r="B19" s="90"/>
      <c r="D19" s="91"/>
    </row>
    <row r="20" spans="1:7">
      <c r="A20" s="83" t="s">
        <v>121</v>
      </c>
      <c r="B20" s="83">
        <v>0.4</v>
      </c>
      <c r="C20" s="92">
        <v>1</v>
      </c>
      <c r="D20" s="261" t="s">
        <v>150</v>
      </c>
      <c r="E20" s="261"/>
      <c r="F20" s="93"/>
      <c r="G20" s="93"/>
    </row>
    <row r="21" spans="1:7">
      <c r="A21" s="83" t="s">
        <v>122</v>
      </c>
      <c r="B21" s="83">
        <v>0.6</v>
      </c>
      <c r="C21" s="86">
        <v>1.2</v>
      </c>
      <c r="D21" s="261" t="s">
        <v>151</v>
      </c>
      <c r="E21" s="261"/>
      <c r="F21" s="93"/>
      <c r="G21" s="93"/>
    </row>
    <row r="22" spans="1:7">
      <c r="A22" s="83" t="s">
        <v>123</v>
      </c>
      <c r="B22" s="83">
        <v>0.9</v>
      </c>
      <c r="C22" s="86">
        <v>1.4</v>
      </c>
      <c r="D22" s="261" t="s">
        <v>152</v>
      </c>
      <c r="E22" s="261"/>
      <c r="F22" s="93"/>
      <c r="G22" s="93"/>
    </row>
    <row r="23" spans="1:7">
      <c r="A23" s="83" t="s">
        <v>124</v>
      </c>
      <c r="B23" s="94">
        <v>1.3</v>
      </c>
      <c r="C23" s="95">
        <v>0.9</v>
      </c>
      <c r="D23" s="261" t="s">
        <v>153</v>
      </c>
      <c r="E23" s="261"/>
      <c r="F23" s="93"/>
      <c r="G23" s="93"/>
    </row>
    <row r="25" spans="1:7">
      <c r="A25" s="97" t="s">
        <v>133</v>
      </c>
      <c r="B25" s="97" t="s">
        <v>134</v>
      </c>
    </row>
    <row r="26" spans="1:7">
      <c r="A26" s="98">
        <v>1</v>
      </c>
      <c r="B26" s="98">
        <v>35</v>
      </c>
      <c r="C26" s="264" t="s">
        <v>135</v>
      </c>
      <c r="D26" s="264"/>
      <c r="E26" s="264"/>
    </row>
    <row r="27" spans="1:7">
      <c r="A27" s="99">
        <v>2</v>
      </c>
      <c r="B27" s="99">
        <v>45</v>
      </c>
      <c r="C27" s="265" t="s">
        <v>136</v>
      </c>
      <c r="D27" s="265"/>
      <c r="E27" s="265"/>
    </row>
    <row r="28" spans="1:7">
      <c r="A28" s="100">
        <v>3</v>
      </c>
      <c r="B28" s="99">
        <v>60</v>
      </c>
      <c r="C28" s="266" t="s">
        <v>137</v>
      </c>
      <c r="D28" s="267"/>
      <c r="E28" s="268"/>
    </row>
    <row r="31" spans="1:7">
      <c r="A31" s="258" t="s">
        <v>156</v>
      </c>
      <c r="B31" s="258"/>
      <c r="C31" s="258" t="s">
        <v>157</v>
      </c>
      <c r="D31" s="258"/>
      <c r="E31" s="258"/>
    </row>
    <row r="32" spans="1:7">
      <c r="A32" s="258" t="s">
        <v>158</v>
      </c>
      <c r="B32" s="258"/>
      <c r="C32" s="101">
        <v>0.625</v>
      </c>
      <c r="D32" s="102">
        <v>1</v>
      </c>
      <c r="E32" s="103">
        <v>2</v>
      </c>
    </row>
    <row r="33" spans="1:6" ht="15">
      <c r="A33" s="259">
        <v>14.9</v>
      </c>
      <c r="B33" s="259"/>
      <c r="C33" s="104">
        <v>1</v>
      </c>
      <c r="D33" s="104">
        <v>1</v>
      </c>
      <c r="E33" s="104">
        <v>1</v>
      </c>
    </row>
    <row r="34" spans="1:6" ht="15">
      <c r="A34" s="105">
        <v>15</v>
      </c>
      <c r="B34" s="106">
        <v>29.9999</v>
      </c>
      <c r="C34" s="104">
        <v>0.8</v>
      </c>
      <c r="D34" s="104">
        <v>0.85</v>
      </c>
      <c r="E34" s="104">
        <v>0.85</v>
      </c>
    </row>
    <row r="35" spans="1:6" ht="15">
      <c r="A35" s="105">
        <v>30</v>
      </c>
      <c r="B35" s="106">
        <v>44.999899999999997</v>
      </c>
      <c r="C35" s="104">
        <v>0.6</v>
      </c>
      <c r="D35" s="104">
        <v>0.7</v>
      </c>
      <c r="E35" s="104">
        <v>0.75</v>
      </c>
    </row>
    <row r="36" spans="1:6" ht="15">
      <c r="A36" s="105">
        <v>45</v>
      </c>
      <c r="B36" s="106">
        <v>59.999899999999997</v>
      </c>
      <c r="C36" s="104">
        <v>0.5</v>
      </c>
      <c r="D36" s="104">
        <v>0.6</v>
      </c>
      <c r="E36" s="104">
        <v>0.7</v>
      </c>
    </row>
    <row r="37" spans="1:6" ht="15">
      <c r="A37" s="260">
        <v>60</v>
      </c>
      <c r="B37" s="260"/>
      <c r="C37" s="104">
        <v>0.4</v>
      </c>
      <c r="D37" s="104">
        <v>0.55000000000000004</v>
      </c>
      <c r="E37" s="104">
        <v>0.65</v>
      </c>
    </row>
    <row r="40" spans="1:6" ht="15">
      <c r="A40" s="175" t="s">
        <v>207</v>
      </c>
      <c r="B40" s="179" t="s">
        <v>208</v>
      </c>
      <c r="C40" s="176"/>
    </row>
    <row r="41" spans="1:6" ht="15">
      <c r="A41" s="43" t="s">
        <v>210</v>
      </c>
      <c r="B41" s="181" t="s">
        <v>211</v>
      </c>
      <c r="C41" s="180">
        <v>6</v>
      </c>
    </row>
    <row r="42" spans="1:6" ht="15">
      <c r="A42" s="43" t="s">
        <v>212</v>
      </c>
      <c r="B42" s="181" t="s">
        <v>213</v>
      </c>
      <c r="C42" s="180">
        <v>6.5</v>
      </c>
    </row>
    <row r="43" spans="1:6" ht="15">
      <c r="A43" s="43" t="s">
        <v>214</v>
      </c>
      <c r="B43" s="181" t="s">
        <v>215</v>
      </c>
      <c r="C43" s="180">
        <v>9.5</v>
      </c>
      <c r="F43"/>
    </row>
    <row r="44" spans="1:6" ht="15">
      <c r="A44" s="43" t="s">
        <v>216</v>
      </c>
      <c r="B44" s="181" t="s">
        <v>217</v>
      </c>
      <c r="C44" s="180">
        <v>3</v>
      </c>
      <c r="F44"/>
    </row>
    <row r="45" spans="1:6" ht="15">
      <c r="A45" s="43" t="s">
        <v>218</v>
      </c>
      <c r="B45" s="181" t="s">
        <v>219</v>
      </c>
      <c r="C45" s="180">
        <v>6</v>
      </c>
      <c r="F45"/>
    </row>
    <row r="46" spans="1:6" ht="15">
      <c r="A46" s="43" t="s">
        <v>220</v>
      </c>
      <c r="B46" s="181" t="s">
        <v>221</v>
      </c>
      <c r="C46" s="180">
        <v>7</v>
      </c>
      <c r="F46"/>
    </row>
    <row r="47" spans="1:6" ht="15">
      <c r="A47" s="43" t="s">
        <v>222</v>
      </c>
      <c r="B47" s="181" t="s">
        <v>223</v>
      </c>
      <c r="C47" s="180">
        <v>8</v>
      </c>
      <c r="F47"/>
    </row>
    <row r="48" spans="1:6" ht="15">
      <c r="A48" s="43" t="s">
        <v>224</v>
      </c>
      <c r="B48" s="181" t="s">
        <v>225</v>
      </c>
      <c r="C48" s="180">
        <v>7</v>
      </c>
      <c r="F48"/>
    </row>
    <row r="49" spans="1:6" ht="15">
      <c r="A49" s="43" t="s">
        <v>226</v>
      </c>
      <c r="B49" s="181" t="s">
        <v>227</v>
      </c>
      <c r="C49" s="180">
        <v>4</v>
      </c>
      <c r="F49"/>
    </row>
    <row r="51" spans="1:6" ht="15">
      <c r="A51" s="182" t="s">
        <v>209</v>
      </c>
      <c r="B51" s="182"/>
      <c r="C51"/>
    </row>
    <row r="52" spans="1:6" ht="15">
      <c r="A52" s="177">
        <v>1</v>
      </c>
      <c r="B52" s="178">
        <v>1</v>
      </c>
      <c r="C52" s="43" t="s">
        <v>232</v>
      </c>
    </row>
    <row r="53" spans="1:6" ht="15">
      <c r="A53" s="177">
        <v>2</v>
      </c>
      <c r="B53" s="178">
        <v>0.75</v>
      </c>
      <c r="C53" s="43" t="s">
        <v>233</v>
      </c>
    </row>
  </sheetData>
  <mergeCells count="18">
    <mergeCell ref="A9:D9"/>
    <mergeCell ref="C26:E26"/>
    <mergeCell ref="C27:E27"/>
    <mergeCell ref="C28:E28"/>
    <mergeCell ref="D20:E20"/>
    <mergeCell ref="D21:E21"/>
    <mergeCell ref="D22:E22"/>
    <mergeCell ref="D23:E23"/>
    <mergeCell ref="C4:D4"/>
    <mergeCell ref="C5:D5"/>
    <mergeCell ref="C6:D6"/>
    <mergeCell ref="C7:D7"/>
    <mergeCell ref="A8:D8"/>
    <mergeCell ref="A31:B31"/>
    <mergeCell ref="C31:E31"/>
    <mergeCell ref="A32:B32"/>
    <mergeCell ref="A33:B33"/>
    <mergeCell ref="A37:B37"/>
  </mergeCells>
  <printOptions gridLines="1" gridLinesSet="0"/>
  <pageMargins left="0.75" right="0.75" top="1" bottom="1" header="0.511811024" footer="0.511811024"/>
  <pageSetup orientation="portrait" horizontalDpi="360" verticalDpi="360" r:id="rId1"/>
  <headerFooter alignWithMargins="0">
    <oddHeader>&amp;A</oddHeader>
    <oddFooter>Página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8</vt:i4>
      </vt:variant>
    </vt:vector>
  </HeadingPairs>
  <TitlesOfParts>
    <vt:vector size="15" baseType="lpstr">
      <vt:lpstr>PRE COL GRAVEDAD</vt:lpstr>
      <vt:lpstr>PRE COL SISMO</vt:lpstr>
      <vt:lpstr>PRE VIGAS</vt:lpstr>
      <vt:lpstr>ESPECTRO</vt:lpstr>
      <vt:lpstr>SaXSaY</vt:lpstr>
      <vt:lpstr>TABLAS</vt:lpstr>
      <vt:lpstr>PARAMETROS</vt:lpstr>
      <vt:lpstr>ESPECTRO!Área_de_impresión</vt:lpstr>
      <vt:lpstr>'PRE COL GRAVEDAD'!Área_de_impresión</vt:lpstr>
      <vt:lpstr>'PRE COL SISMO'!Área_de_impresión</vt:lpstr>
      <vt:lpstr>'PRE VIGAS'!Área_de_impresión</vt:lpstr>
      <vt:lpstr>ESPECTRO!Títulos_a_imprimir</vt:lpstr>
      <vt:lpstr>'PRE COL GRAVEDAD'!Títulos_a_imprimir</vt:lpstr>
      <vt:lpstr>'PRE COL SISMO'!Títulos_a_imprimir</vt:lpstr>
      <vt:lpstr>'PRE VIGAS'!Títulos_a_imprimir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Nelly</dc:creator>
  <cp:lastModifiedBy>Hamirjo</cp:lastModifiedBy>
  <cp:lastPrinted>2009-02-18T05:09:58Z</cp:lastPrinted>
  <dcterms:created xsi:type="dcterms:W3CDTF">2008-11-12T23:11:31Z</dcterms:created>
  <dcterms:modified xsi:type="dcterms:W3CDTF">2009-02-18T13:44:01Z</dcterms:modified>
</cp:coreProperties>
</file>