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2_8.bin" ContentType="application/vnd.openxmlformats-officedocument.oleObject"/>
  <Override PartName="/xl/embeddings/oleObject_2_9.bin" ContentType="application/vnd.openxmlformats-officedocument.oleObject"/>
  <Override PartName="/xl/embeddings/oleObject_2_10.bin" ContentType="application/vnd.openxmlformats-officedocument.oleObject"/>
  <Override PartName="/xl/embeddings/oleObject_2_11.bin" ContentType="application/vnd.openxmlformats-officedocument.oleObject"/>
  <Override PartName="/xl/embeddings/oleObject_2_12.bin" ContentType="application/vnd.openxmlformats-officedocument.oleObject"/>
  <Override PartName="/xl/embeddings/oleObject_2_13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96" yWindow="60" windowWidth="12120" windowHeight="8580" tabRatio="821" activeTab="1"/>
  </bookViews>
  <sheets>
    <sheet name="Datos de Entrada" sheetId="1" r:id="rId1"/>
    <sheet name="Area, Presiones, Peralte" sheetId="2" r:id="rId2"/>
    <sheet name="Revision del peralte" sheetId="3" r:id="rId3"/>
    <sheet name="Diseño por flexión" sheetId="4" r:id="rId4"/>
    <sheet name="Resumen" sheetId="5" r:id="rId5"/>
  </sheets>
  <definedNames/>
  <calcPr fullCalcOnLoad="1"/>
</workbook>
</file>

<file path=xl/sharedStrings.xml><?xml version="1.0" encoding="utf-8"?>
<sst xmlns="http://schemas.openxmlformats.org/spreadsheetml/2006/main" count="185" uniqueCount="111">
  <si>
    <t>Datos de Entrada:</t>
  </si>
  <si>
    <t>Ton</t>
  </si>
  <si>
    <t>Grupo al que pertenece la estructura:</t>
  </si>
  <si>
    <t>cm</t>
  </si>
  <si>
    <t>m</t>
  </si>
  <si>
    <t>Hoja de Cálculo que soluciona Zapatas con carga axial</t>
  </si>
  <si>
    <r>
      <t>Kg/cm</t>
    </r>
    <r>
      <rPr>
        <vertAlign val="superscript"/>
        <sz val="12"/>
        <rFont val="Arial"/>
        <family val="2"/>
      </rPr>
      <t>2</t>
    </r>
  </si>
  <si>
    <r>
      <t>Ton/m</t>
    </r>
    <r>
      <rPr>
        <vertAlign val="superscript"/>
        <sz val="12"/>
        <rFont val="Arial"/>
        <family val="2"/>
      </rPr>
      <t>2</t>
    </r>
  </si>
  <si>
    <t>B</t>
  </si>
  <si>
    <r>
      <t>P</t>
    </r>
    <r>
      <rPr>
        <i/>
        <vertAlign val="subscript"/>
        <sz val="12"/>
        <rFont val="Times New Roman"/>
        <family val="1"/>
      </rPr>
      <t>u</t>
    </r>
    <r>
      <rPr>
        <i/>
        <sz val="12"/>
        <rFont val="Times New Roman"/>
        <family val="1"/>
      </rPr>
      <t xml:space="preserve"> = P*FC =</t>
    </r>
  </si>
  <si>
    <r>
      <t>P</t>
    </r>
    <r>
      <rPr>
        <i/>
        <vertAlign val="subscript"/>
        <sz val="12"/>
        <rFont val="Times New Roman"/>
        <family val="1"/>
      </rPr>
      <t>T</t>
    </r>
    <r>
      <rPr>
        <i/>
        <sz val="12"/>
        <rFont val="Times New Roman"/>
        <family val="1"/>
      </rPr>
      <t xml:space="preserve"> = P+W</t>
    </r>
    <r>
      <rPr>
        <i/>
        <vertAlign val="subscript"/>
        <sz val="12"/>
        <rFont val="Times New Roman"/>
        <family val="1"/>
      </rPr>
      <t>cimentación</t>
    </r>
    <r>
      <rPr>
        <i/>
        <sz val="12"/>
        <rFont val="Times New Roman"/>
        <family val="1"/>
      </rPr>
      <t>=</t>
    </r>
  </si>
  <si>
    <r>
      <t>P</t>
    </r>
    <r>
      <rPr>
        <i/>
        <vertAlign val="subscript"/>
        <sz val="12"/>
        <rFont val="Times New Roman"/>
        <family val="1"/>
      </rPr>
      <t>Tu</t>
    </r>
    <r>
      <rPr>
        <i/>
        <sz val="12"/>
        <rFont val="Times New Roman"/>
        <family val="1"/>
      </rPr>
      <t xml:space="preserve"> = PT*FC =</t>
    </r>
  </si>
  <si>
    <t>1.- Obtención del área de la zapata</t>
  </si>
  <si>
    <t xml:space="preserve">Gonzalo Lugo Cruz (99310075) </t>
  </si>
  <si>
    <t>gonzalo_lugo@hotmail.com</t>
  </si>
  <si>
    <t>Diseño y elaboración:</t>
  </si>
  <si>
    <r>
      <t>m</t>
    </r>
    <r>
      <rPr>
        <vertAlign val="superscript"/>
        <sz val="12"/>
        <rFont val="Arial"/>
        <family val="2"/>
      </rPr>
      <t>2</t>
    </r>
  </si>
  <si>
    <t>2.- Presiones de contacto</t>
  </si>
  <si>
    <r>
      <t>f</t>
    </r>
    <r>
      <rPr>
        <i/>
        <vertAlign val="subscript"/>
        <sz val="12"/>
        <rFont val="Times New Roman"/>
        <family val="1"/>
      </rPr>
      <t>tu</t>
    </r>
  </si>
  <si>
    <t>Clase del concreto:</t>
  </si>
  <si>
    <t>B =</t>
  </si>
  <si>
    <t>L =</t>
  </si>
  <si>
    <t>Introduzca los valores B y L redondeados:</t>
  </si>
  <si>
    <t>&gt;</t>
  </si>
  <si>
    <t>&lt;</t>
  </si>
  <si>
    <t>3.- Peralte preliminar</t>
  </si>
  <si>
    <t>Kg-cm</t>
  </si>
  <si>
    <t>d =</t>
  </si>
  <si>
    <t>h =</t>
  </si>
  <si>
    <t>Introduzca el valor de "d" redondeado</t>
  </si>
  <si>
    <t>4.- Revisión del peralte</t>
  </si>
  <si>
    <t>Regrese al punto 3 y suba el peralte de la zapata...</t>
  </si>
  <si>
    <t>Procedemos a la siguiente revisión...</t>
  </si>
  <si>
    <t>4d =</t>
  </si>
  <si>
    <t>se cumple la condición, evaluaremos la siguiente...</t>
  </si>
  <si>
    <t>Ton-m</t>
  </si>
  <si>
    <r>
      <t>v</t>
    </r>
    <r>
      <rPr>
        <i/>
        <vertAlign val="subscript"/>
        <sz val="12"/>
        <rFont val="Times New Roman"/>
        <family val="1"/>
      </rPr>
      <t>u</t>
    </r>
    <r>
      <rPr>
        <i/>
        <sz val="12"/>
        <rFont val="Times New Roman"/>
        <family val="1"/>
      </rPr>
      <t>=V</t>
    </r>
    <r>
      <rPr>
        <i/>
        <vertAlign val="subscript"/>
        <sz val="12"/>
        <rFont val="Times New Roman"/>
        <family val="1"/>
      </rPr>
      <t>n</t>
    </r>
    <r>
      <rPr>
        <i/>
        <sz val="12"/>
        <rFont val="Times New Roman"/>
        <family val="1"/>
      </rPr>
      <t>/(bd)</t>
    </r>
  </si>
  <si>
    <r>
      <t>V</t>
    </r>
    <r>
      <rPr>
        <i/>
        <vertAlign val="subscript"/>
        <sz val="12"/>
        <rFont val="Times New Roman"/>
        <family val="1"/>
      </rPr>
      <t>CR</t>
    </r>
    <r>
      <rPr>
        <i/>
        <sz val="12"/>
        <rFont val="Times New Roman"/>
        <family val="1"/>
      </rPr>
      <t xml:space="preserve"> = FR*0.5*(f*c)</t>
    </r>
    <r>
      <rPr>
        <i/>
        <vertAlign val="superscript"/>
        <sz val="12"/>
        <rFont val="Times New Roman"/>
        <family val="1"/>
      </rPr>
      <t>1/2</t>
    </r>
  </si>
  <si>
    <t>no se cumple, ocuparemos la ecuación 2.19 ó 2.20 de las NTC-Concreto</t>
  </si>
  <si>
    <t>5.- Diseño por flexión</t>
  </si>
  <si>
    <r>
      <t>M</t>
    </r>
    <r>
      <rPr>
        <i/>
        <vertAlign val="subscript"/>
        <sz val="12"/>
        <rFont val="Times New Roman"/>
        <family val="1"/>
      </rPr>
      <t>u</t>
    </r>
    <r>
      <rPr>
        <i/>
        <sz val="12"/>
        <rFont val="Times New Roman"/>
        <family val="1"/>
      </rPr>
      <t xml:space="preserve"> =</t>
    </r>
  </si>
  <si>
    <r>
      <t>cm</t>
    </r>
    <r>
      <rPr>
        <vertAlign val="superscript"/>
        <sz val="12"/>
        <rFont val="Arial"/>
        <family val="2"/>
      </rPr>
      <t>2</t>
    </r>
  </si>
  <si>
    <t>1.33 As =</t>
  </si>
  <si>
    <t>Introduzca el área de acero a utilizar:</t>
  </si>
  <si>
    <r>
      <t>As o As</t>
    </r>
    <r>
      <rPr>
        <i/>
        <vertAlign val="subscript"/>
        <sz val="12"/>
        <rFont val="Times New Roman"/>
        <family val="1"/>
      </rPr>
      <t>mín</t>
    </r>
    <r>
      <rPr>
        <i/>
        <sz val="12"/>
        <rFont val="Times New Roman"/>
        <family val="1"/>
      </rPr>
      <t xml:space="preserve"> ó 1.33As:</t>
    </r>
  </si>
  <si>
    <t>Introduzca el número de varilla a utilizar:</t>
  </si>
  <si>
    <t>#</t>
  </si>
  <si>
    <t>Área de la varilla:</t>
  </si>
  <si>
    <t>error, no definida...</t>
  </si>
  <si>
    <t>area</t>
  </si>
  <si>
    <t>hmín</t>
  </si>
  <si>
    <t>Armado:</t>
  </si>
  <si>
    <t>@</t>
  </si>
  <si>
    <t>Resumen de la  Zapata con carga axial</t>
  </si>
  <si>
    <t>Concreto f'c=</t>
  </si>
  <si>
    <t>agregado máximo 3/4", revenimiento 10 cm (más menos 2.5 cm)</t>
  </si>
  <si>
    <t>cm en lecho</t>
  </si>
  <si>
    <t>bajo</t>
  </si>
  <si>
    <t>Df</t>
  </si>
  <si>
    <t>=</t>
  </si>
  <si>
    <t>h</t>
  </si>
  <si>
    <t>C1</t>
  </si>
  <si>
    <t>C2</t>
  </si>
  <si>
    <t>L</t>
  </si>
  <si>
    <t>b</t>
  </si>
  <si>
    <t>¿Se cumplen las tres condiciones?</t>
  </si>
  <si>
    <t>s</t>
  </si>
  <si>
    <t>n</t>
  </si>
  <si>
    <t>(s / n)</t>
  </si>
  <si>
    <t>error, intruduzca "s" o "n"</t>
  </si>
  <si>
    <t>&lt;.015</t>
  </si>
  <si>
    <t>&gt;0.15</t>
  </si>
  <si>
    <t>p=As/bd =</t>
  </si>
  <si>
    <r>
      <t>V</t>
    </r>
    <r>
      <rPr>
        <i/>
        <vertAlign val="subscript"/>
        <sz val="12"/>
        <rFont val="Times New Roman"/>
        <family val="1"/>
      </rPr>
      <t>CR</t>
    </r>
    <r>
      <rPr>
        <i/>
        <sz val="12"/>
        <rFont val="Times New Roman"/>
        <family val="1"/>
      </rPr>
      <t>=FR(0.2+20p)(f*c)</t>
    </r>
    <r>
      <rPr>
        <i/>
        <vertAlign val="superscript"/>
        <sz val="12"/>
        <rFont val="Times New Roman"/>
        <family val="1"/>
      </rPr>
      <t>1/2</t>
    </r>
    <r>
      <rPr>
        <i/>
        <sz val="12"/>
        <rFont val="Times New Roman"/>
        <family val="1"/>
      </rPr>
      <t>=</t>
    </r>
  </si>
  <si>
    <r>
      <t>V</t>
    </r>
    <r>
      <rPr>
        <i/>
        <vertAlign val="subscript"/>
        <sz val="12"/>
        <rFont val="Times New Roman"/>
        <family val="1"/>
      </rPr>
      <t>CR</t>
    </r>
    <r>
      <rPr>
        <i/>
        <sz val="12"/>
        <rFont val="Times New Roman"/>
        <family val="1"/>
      </rPr>
      <t xml:space="preserve"> = FR*0.5*(f*c)</t>
    </r>
    <r>
      <rPr>
        <i/>
        <vertAlign val="superscript"/>
        <sz val="12"/>
        <rFont val="Times New Roman"/>
        <family val="1"/>
      </rPr>
      <t>1/2</t>
    </r>
    <r>
      <rPr>
        <i/>
        <sz val="12"/>
        <rFont val="Times New Roman"/>
        <family val="1"/>
      </rPr>
      <t>=</t>
    </r>
  </si>
  <si>
    <r>
      <t>v</t>
    </r>
    <r>
      <rPr>
        <i/>
        <vertAlign val="subscript"/>
        <sz val="12"/>
        <rFont val="Times New Roman"/>
        <family val="1"/>
      </rPr>
      <t>u</t>
    </r>
    <r>
      <rPr>
        <i/>
        <sz val="12"/>
        <rFont val="Times New Roman"/>
        <family val="1"/>
      </rPr>
      <t>=V</t>
    </r>
    <r>
      <rPr>
        <i/>
        <vertAlign val="subscript"/>
        <sz val="12"/>
        <rFont val="Times New Roman"/>
        <family val="1"/>
      </rPr>
      <t>n</t>
    </r>
    <r>
      <rPr>
        <i/>
        <sz val="12"/>
        <rFont val="Times New Roman"/>
        <family val="1"/>
      </rPr>
      <t>/(b d)=</t>
    </r>
  </si>
  <si>
    <t>Calculamos p para definir la ecuación a usar (2.19 ó 2.20 de las NTC-Concreto...</t>
  </si>
  <si>
    <t>.</t>
  </si>
  <si>
    <t>p</t>
  </si>
  <si>
    <t>¿Es "p" menor que 0.015?</t>
  </si>
  <si>
    <t>usaremos la ecuación 2.20 de las NTC-Concreto</t>
  </si>
  <si>
    <t>usaremos la ecuación 2.19 de las NTC-Concreto</t>
  </si>
  <si>
    <t>VCR</t>
  </si>
  <si>
    <t>VU</t>
  </si>
  <si>
    <t>Seguimos con el diseño por flexión...</t>
  </si>
  <si>
    <r>
      <t>Kg/cm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Clase</t>
    </r>
  </si>
  <si>
    <t>Grupo M901</t>
  </si>
  <si>
    <t xml:space="preserve">José Rojas González (99311194) </t>
  </si>
  <si>
    <t xml:space="preserve"> </t>
  </si>
  <si>
    <t>1.- Datos de entrada</t>
  </si>
  <si>
    <t>3.- Revisión del Peralte</t>
  </si>
  <si>
    <t>4.- Diseño por flexión</t>
  </si>
  <si>
    <t>Continuar...</t>
  </si>
  <si>
    <t>Atrás...</t>
  </si>
  <si>
    <t>Calcular otra zapata...</t>
  </si>
  <si>
    <t>chepe_chepe_@hotmail.com</t>
  </si>
  <si>
    <t>se cumple la condición...</t>
  </si>
  <si>
    <t>regrese al punto 3 y suba el peralte...</t>
  </si>
  <si>
    <t>2.- Cálculo del Area de la zapata, Presiones de contacto y Peralte preliminar</t>
  </si>
  <si>
    <t>5.- Resumen de la Zapata con Carga Axial</t>
  </si>
  <si>
    <r>
      <t>Magnitud de la carga</t>
    </r>
    <r>
      <rPr>
        <i/>
        <sz val="10"/>
        <rFont val="Times New Roman"/>
        <family val="1"/>
      </rPr>
      <t xml:space="preserve"> P</t>
    </r>
  </si>
  <si>
    <r>
      <t xml:space="preserve">Longitud de </t>
    </r>
    <r>
      <rPr>
        <i/>
        <sz val="10"/>
        <rFont val="Times New Roman"/>
        <family val="1"/>
      </rPr>
      <t>C1:</t>
    </r>
  </si>
  <si>
    <r>
      <t xml:space="preserve">Longitud de </t>
    </r>
    <r>
      <rPr>
        <i/>
        <sz val="10"/>
        <rFont val="Times New Roman"/>
        <family val="1"/>
      </rPr>
      <t>C2:</t>
    </r>
  </si>
  <si>
    <r>
      <t xml:space="preserve">Profundidad de desplante </t>
    </r>
    <r>
      <rPr>
        <i/>
        <sz val="10"/>
        <rFont val="Times New Roman"/>
        <family val="1"/>
      </rPr>
      <t>Df:</t>
    </r>
  </si>
  <si>
    <r>
      <t>Resistencia del concreto</t>
    </r>
    <r>
      <rPr>
        <i/>
        <sz val="10"/>
        <rFont val="Times New Roman"/>
        <family val="1"/>
      </rPr>
      <t xml:space="preserve"> f'c:</t>
    </r>
  </si>
  <si>
    <r>
      <t>Kg/cm</t>
    </r>
    <r>
      <rPr>
        <vertAlign val="superscript"/>
        <sz val="10"/>
        <rFont val="Arial"/>
        <family val="2"/>
      </rPr>
      <t>2</t>
    </r>
  </si>
  <si>
    <r>
      <t>Resistencia del acero</t>
    </r>
    <r>
      <rPr>
        <i/>
        <sz val="10"/>
        <rFont val="Times New Roman"/>
        <family val="1"/>
      </rPr>
      <t xml:space="preserve"> fy:</t>
    </r>
  </si>
  <si>
    <r>
      <t xml:space="preserve">Resistencia del terreno </t>
    </r>
    <r>
      <rPr>
        <i/>
        <sz val="10"/>
        <rFont val="Times New Roman"/>
        <family val="1"/>
      </rPr>
      <t>f</t>
    </r>
    <r>
      <rPr>
        <i/>
        <vertAlign val="subscript"/>
        <sz val="10"/>
        <rFont val="Times New Roman"/>
        <family val="1"/>
      </rPr>
      <t>tu</t>
    </r>
    <r>
      <rPr>
        <i/>
        <sz val="10"/>
        <rFont val="Times New Roman"/>
        <family val="1"/>
      </rPr>
      <t>:</t>
    </r>
  </si>
  <si>
    <r>
      <t>Ton/m</t>
    </r>
    <r>
      <rPr>
        <vertAlign val="superscript"/>
        <sz val="10"/>
        <rFont val="Arial"/>
        <family val="2"/>
      </rPr>
      <t>2</t>
    </r>
  </si>
  <si>
    <t>http://groups.msn.com/EstructurasycimentacionesESIA-901</t>
  </si>
  <si>
    <t>Hoja proporcionada a: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</si>
</sst>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0"/>
      <color indexed="10"/>
      <name val="Arial"/>
      <family val="2"/>
    </font>
    <font>
      <i/>
      <sz val="12"/>
      <name val="Times New Roman"/>
      <family val="1"/>
    </font>
    <font>
      <i/>
      <vertAlign val="subscript"/>
      <sz val="12"/>
      <name val="Times New Roman"/>
      <family val="1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6"/>
      <name val="Arial"/>
      <family val="2"/>
    </font>
    <font>
      <sz val="6.1"/>
      <name val="Arial"/>
      <family val="2"/>
    </font>
    <font>
      <sz val="8"/>
      <name val="Arial"/>
      <family val="2"/>
    </font>
    <font>
      <i/>
      <vertAlign val="superscript"/>
      <sz val="12"/>
      <name val="Times New Roman"/>
      <family val="1"/>
    </font>
    <font>
      <b/>
      <sz val="10"/>
      <name val="Arial"/>
      <family val="2"/>
    </font>
    <font>
      <sz val="12"/>
      <name val="CommercialPi BT"/>
      <family val="1"/>
    </font>
    <font>
      <b/>
      <i/>
      <sz val="12"/>
      <name val="Arial"/>
      <family val="2"/>
    </font>
    <font>
      <vertAlign val="superscript"/>
      <sz val="10"/>
      <name val="Arial"/>
      <family val="2"/>
    </font>
    <font>
      <sz val="12"/>
      <color indexed="10"/>
      <name val="Arial"/>
      <family val="2"/>
    </font>
    <font>
      <i/>
      <sz val="10"/>
      <name val="Times New Roman"/>
      <family val="1"/>
    </font>
    <font>
      <i/>
      <vertAlign val="subscript"/>
      <sz val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2" borderId="0" xfId="0" applyFill="1" applyAlignment="1">
      <alignment horizontal="center" vertical="center"/>
    </xf>
    <xf numFmtId="0" fontId="0" fillId="2" borderId="0" xfId="0" applyNumberFormat="1" applyFont="1" applyFill="1" applyBorder="1" applyAlignment="1">
      <alignment/>
    </xf>
    <xf numFmtId="0" fontId="0" fillId="2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horizontal="left" vertical="center"/>
    </xf>
    <xf numFmtId="0" fontId="5" fillId="2" borderId="0" xfId="0" applyNumberFormat="1" applyFont="1" applyFill="1" applyAlignment="1">
      <alignment horizontal="left" vertical="center"/>
    </xf>
    <xf numFmtId="0" fontId="10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10" fillId="2" borderId="0" xfId="0" applyNumberFormat="1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/>
    </xf>
    <xf numFmtId="0" fontId="8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0" fontId="0" fillId="2" borderId="0" xfId="0" applyFont="1" applyFill="1" applyAlignment="1">
      <alignment horizontal="left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right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49" fontId="18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9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left" vertical="center"/>
    </xf>
    <xf numFmtId="0" fontId="7" fillId="2" borderId="0" xfId="0" applyNumberFormat="1" applyFont="1" applyFill="1" applyBorder="1" applyAlignment="1">
      <alignment horizontal="center" vertical="center"/>
    </xf>
    <xf numFmtId="0" fontId="1" fillId="3" borderId="11" xfId="15" applyFill="1" applyBorder="1" applyAlignment="1">
      <alignment horizontal="center" vertical="center"/>
    </xf>
    <xf numFmtId="0" fontId="1" fillId="4" borderId="11" xfId="15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0" fillId="2" borderId="12" xfId="0" applyNumberFormat="1" applyFont="1" applyFill="1" applyBorder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0" fillId="2" borderId="13" xfId="0" applyNumberFormat="1" applyFont="1" applyFill="1" applyBorder="1" applyAlignment="1">
      <alignment horizontal="left" vertical="center"/>
    </xf>
    <xf numFmtId="0" fontId="0" fillId="2" borderId="14" xfId="0" applyNumberFormat="1" applyFont="1" applyFill="1" applyBorder="1" applyAlignment="1">
      <alignment horizontal="left" vertical="center"/>
    </xf>
    <xf numFmtId="0" fontId="7" fillId="2" borderId="15" xfId="0" applyNumberFormat="1" applyFont="1" applyFill="1" applyBorder="1" applyAlignment="1" applyProtection="1">
      <alignment horizontal="center" vertical="center"/>
      <protection locked="0"/>
    </xf>
    <xf numFmtId="0" fontId="7" fillId="2" borderId="16" xfId="0" applyNumberFormat="1" applyFont="1" applyFill="1" applyBorder="1" applyAlignment="1" applyProtection="1">
      <alignment horizontal="center" vertical="center"/>
      <protection locked="0"/>
    </xf>
    <xf numFmtId="0" fontId="7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5" borderId="17" xfId="0" applyNumberFormat="1" applyFont="1" applyFill="1" applyBorder="1" applyAlignment="1">
      <alignment horizontal="center" vertical="center"/>
    </xf>
    <xf numFmtId="0" fontId="4" fillId="5" borderId="18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left" vertical="center"/>
    </xf>
    <xf numFmtId="0" fontId="0" fillId="2" borderId="4" xfId="0" applyNumberFormat="1" applyFont="1" applyFill="1" applyBorder="1" applyAlignment="1">
      <alignment horizontal="left" vertical="center"/>
    </xf>
    <xf numFmtId="0" fontId="1" fillId="2" borderId="0" xfId="15" applyNumberFormat="1" applyFill="1" applyBorder="1" applyAlignment="1">
      <alignment horizontal="left" vertical="center"/>
    </xf>
    <xf numFmtId="0" fontId="0" fillId="2" borderId="19" xfId="0" applyNumberFormat="1" applyFont="1" applyFill="1" applyBorder="1" applyAlignment="1">
      <alignment horizontal="left" vertical="center"/>
    </xf>
    <xf numFmtId="0" fontId="0" fillId="2" borderId="9" xfId="0" applyNumberFormat="1" applyFont="1" applyFill="1" applyBorder="1" applyAlignment="1">
      <alignment horizontal="left" vertical="center"/>
    </xf>
    <xf numFmtId="0" fontId="0" fillId="2" borderId="7" xfId="0" applyNumberFormat="1" applyFont="1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1" fillId="2" borderId="0" xfId="15" applyFill="1" applyAlignment="1">
      <alignment horizontal="left" vertical="center"/>
    </xf>
    <xf numFmtId="0" fontId="1" fillId="2" borderId="0" xfId="15" applyNumberFormat="1" applyFill="1" applyAlignment="1">
      <alignment horizontal="left" vertical="center"/>
    </xf>
    <xf numFmtId="0" fontId="1" fillId="2" borderId="0" xfId="15" applyFill="1" applyAlignment="1">
      <alignment/>
    </xf>
    <xf numFmtId="0" fontId="0" fillId="2" borderId="0" xfId="0" applyFill="1" applyAlignment="1">
      <alignment horizontal="left" vertical="center"/>
    </xf>
    <xf numFmtId="0" fontId="0" fillId="2" borderId="5" xfId="0" applyNumberFormat="1" applyFont="1" applyFill="1" applyBorder="1" applyAlignment="1">
      <alignment horizontal="left" vertical="center"/>
    </xf>
    <xf numFmtId="0" fontId="0" fillId="2" borderId="1" xfId="0" applyNumberFormat="1" applyFont="1" applyFill="1" applyBorder="1" applyAlignment="1">
      <alignment horizontal="left" vertical="center"/>
    </xf>
    <xf numFmtId="0" fontId="0" fillId="2" borderId="6" xfId="0" applyNumberFormat="1" applyFont="1" applyFill="1" applyBorder="1" applyAlignment="1">
      <alignment horizontal="left" vertical="center"/>
    </xf>
    <xf numFmtId="0" fontId="0" fillId="2" borderId="20" xfId="0" applyNumberFormat="1" applyFont="1" applyFill="1" applyBorder="1" applyAlignment="1">
      <alignment horizontal="left" vertical="center"/>
    </xf>
    <xf numFmtId="0" fontId="0" fillId="2" borderId="16" xfId="0" applyNumberFormat="1" applyFont="1" applyFill="1" applyBorder="1" applyAlignment="1">
      <alignment horizontal="left" vertical="center"/>
    </xf>
    <xf numFmtId="0" fontId="0" fillId="2" borderId="21" xfId="0" applyNumberFormat="1" applyFont="1" applyFill="1" applyBorder="1" applyAlignment="1">
      <alignment horizontal="left" vertical="center"/>
    </xf>
    <xf numFmtId="0" fontId="3" fillId="6" borderId="0" xfId="0" applyFont="1" applyFill="1" applyAlignment="1">
      <alignment horizontal="center" vertical="center"/>
    </xf>
    <xf numFmtId="0" fontId="0" fillId="2" borderId="2" xfId="0" applyNumberFormat="1" applyFont="1" applyFill="1" applyBorder="1" applyAlignment="1">
      <alignment horizontal="left" vertical="center"/>
    </xf>
    <xf numFmtId="0" fontId="4" fillId="5" borderId="22" xfId="0" applyNumberFormat="1" applyFont="1" applyFill="1" applyBorder="1" applyAlignment="1">
      <alignment horizontal="center" vertical="center"/>
    </xf>
    <xf numFmtId="0" fontId="4" fillId="5" borderId="23" xfId="0" applyNumberFormat="1" applyFont="1" applyFill="1" applyBorder="1" applyAlignment="1">
      <alignment horizontal="center" vertical="center"/>
    </xf>
    <xf numFmtId="0" fontId="4" fillId="5" borderId="24" xfId="0" applyNumberFormat="1" applyFont="1" applyFill="1" applyBorder="1" applyAlignment="1">
      <alignment horizontal="center" vertical="center"/>
    </xf>
    <xf numFmtId="0" fontId="4" fillId="5" borderId="2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0" fillId="2" borderId="9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2" fillId="6" borderId="26" xfId="0" applyFont="1" applyFill="1" applyBorder="1" applyAlignment="1">
      <alignment horizontal="left" vertical="center"/>
    </xf>
    <xf numFmtId="0" fontId="12" fillId="6" borderId="15" xfId="0" applyFont="1" applyFill="1" applyBorder="1" applyAlignment="1">
      <alignment horizontal="left" vertical="center"/>
    </xf>
    <xf numFmtId="0" fontId="12" fillId="6" borderId="27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1" fillId="2" borderId="9" xfId="0" applyNumberFormat="1" applyFont="1" applyFill="1" applyBorder="1" applyAlignment="1" applyProtection="1">
      <alignment horizontal="center" vertical="center"/>
      <protection locked="0"/>
    </xf>
    <xf numFmtId="2" fontId="10" fillId="2" borderId="3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0" fillId="5" borderId="17" xfId="0" applyNumberFormat="1" applyFont="1" applyFill="1" applyBorder="1" applyAlignment="1">
      <alignment horizontal="center" vertical="center"/>
    </xf>
    <xf numFmtId="0" fontId="10" fillId="5" borderId="18" xfId="0" applyNumberFormat="1" applyFont="1" applyFill="1" applyBorder="1" applyAlignment="1">
      <alignment horizontal="center" vertical="center"/>
    </xf>
    <xf numFmtId="0" fontId="10" fillId="5" borderId="22" xfId="0" applyNumberFormat="1" applyFont="1" applyFill="1" applyBorder="1" applyAlignment="1">
      <alignment horizontal="center" vertical="center"/>
    </xf>
    <xf numFmtId="0" fontId="10" fillId="5" borderId="23" xfId="0" applyNumberFormat="1" applyFont="1" applyFill="1" applyBorder="1" applyAlignment="1">
      <alignment horizontal="center" vertical="center"/>
    </xf>
    <xf numFmtId="0" fontId="10" fillId="5" borderId="24" xfId="0" applyNumberFormat="1" applyFont="1" applyFill="1" applyBorder="1" applyAlignment="1">
      <alignment horizontal="center" vertical="center"/>
    </xf>
    <xf numFmtId="0" fontId="10" fillId="5" borderId="25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32" xfId="0" applyNumberFormat="1" applyFont="1" applyFill="1" applyBorder="1" applyAlignment="1" applyProtection="1">
      <alignment horizontal="center" vertical="center"/>
      <protection locked="0"/>
    </xf>
    <xf numFmtId="0" fontId="11" fillId="2" borderId="10" xfId="0" applyNumberFormat="1" applyFont="1" applyFill="1" applyBorder="1" applyAlignment="1" applyProtection="1">
      <alignment horizontal="center" vertical="center"/>
      <protection locked="0"/>
    </xf>
    <xf numFmtId="0" fontId="11" fillId="2" borderId="33" xfId="0" applyNumberFormat="1" applyFont="1" applyFill="1" applyBorder="1" applyAlignment="1" applyProtection="1">
      <alignment horizontal="center" vertical="center"/>
      <protection locked="0"/>
    </xf>
    <xf numFmtId="0" fontId="5" fillId="2" borderId="34" xfId="0" applyFont="1" applyFill="1" applyBorder="1" applyAlignment="1">
      <alignment horizontal="center" vertical="center"/>
    </xf>
    <xf numFmtId="0" fontId="15" fillId="2" borderId="18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/>
    </xf>
    <xf numFmtId="0" fontId="8" fillId="2" borderId="1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0" fontId="0" fillId="2" borderId="0" xfId="0" applyFont="1" applyFill="1" applyAlignment="1">
      <alignment horizontal="left" vertical="center"/>
    </xf>
    <xf numFmtId="0" fontId="0" fillId="7" borderId="26" xfId="0" applyFont="1" applyFill="1" applyBorder="1" applyAlignment="1">
      <alignment horizontal="center" vertical="center"/>
    </xf>
    <xf numFmtId="0" fontId="0" fillId="7" borderId="35" xfId="0" applyFont="1" applyFill="1" applyBorder="1" applyAlignment="1">
      <alignment horizontal="center" vertical="center"/>
    </xf>
    <xf numFmtId="0" fontId="0" fillId="7" borderId="20" xfId="0" applyFont="1" applyFill="1" applyBorder="1" applyAlignment="1">
      <alignment horizontal="center" vertical="center"/>
    </xf>
    <xf numFmtId="0" fontId="0" fillId="7" borderId="31" xfId="0" applyFont="1" applyFill="1" applyBorder="1" applyAlignment="1">
      <alignment horizontal="center" vertical="center"/>
    </xf>
    <xf numFmtId="0" fontId="0" fillId="7" borderId="36" xfId="0" applyFont="1" applyFill="1" applyBorder="1" applyAlignment="1">
      <alignment horizontal="center" vertical="center"/>
    </xf>
    <xf numFmtId="0" fontId="0" fillId="7" borderId="37" xfId="0" applyFont="1" applyFill="1" applyBorder="1" applyAlignment="1">
      <alignment horizontal="center" vertical="center"/>
    </xf>
    <xf numFmtId="0" fontId="0" fillId="7" borderId="38" xfId="0" applyFont="1" applyFill="1" applyBorder="1" applyAlignment="1">
      <alignment horizontal="right" vertical="center"/>
    </xf>
    <xf numFmtId="0" fontId="0" fillId="7" borderId="39" xfId="0" applyFont="1" applyFill="1" applyBorder="1" applyAlignment="1">
      <alignment horizontal="right" vertical="center"/>
    </xf>
    <xf numFmtId="0" fontId="0" fillId="7" borderId="38" xfId="0" applyFont="1" applyFill="1" applyBorder="1" applyAlignment="1">
      <alignment horizontal="center" vertical="center"/>
    </xf>
    <xf numFmtId="0" fontId="0" fillId="7" borderId="39" xfId="0" applyFont="1" applyFill="1" applyBorder="1" applyAlignment="1">
      <alignment horizontal="center" vertical="center"/>
    </xf>
    <xf numFmtId="0" fontId="1" fillId="4" borderId="40" xfId="15" applyFill="1" applyBorder="1" applyAlignment="1">
      <alignment horizontal="center" vertical="center"/>
    </xf>
    <xf numFmtId="0" fontId="1" fillId="4" borderId="41" xfId="15" applyFill="1" applyBorder="1" applyAlignment="1">
      <alignment horizontal="center" vertical="center"/>
    </xf>
    <xf numFmtId="0" fontId="1" fillId="4" borderId="42" xfId="15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hyperlink" Target="http://www.construaprende.com/" TargetMode="External" /><Relationship Id="rId3" Type="http://schemas.openxmlformats.org/officeDocument/2006/relationships/hyperlink" Target="http://www.construaprende.com/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2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3.emf" /><Relationship Id="rId3" Type="http://schemas.openxmlformats.org/officeDocument/2006/relationships/image" Target="../media/image14.emf" /><Relationship Id="rId4" Type="http://schemas.openxmlformats.org/officeDocument/2006/relationships/image" Target="../media/image15.emf" /><Relationship Id="rId5" Type="http://schemas.openxmlformats.org/officeDocument/2006/relationships/image" Target="../media/image16.emf" /><Relationship Id="rId6" Type="http://schemas.openxmlformats.org/officeDocument/2006/relationships/image" Target="../media/image17.emf" /><Relationship Id="rId7" Type="http://schemas.openxmlformats.org/officeDocument/2006/relationships/image" Target="../media/image18.emf" /><Relationship Id="rId8" Type="http://schemas.openxmlformats.org/officeDocument/2006/relationships/image" Target="../media/image19.emf" /><Relationship Id="rId9" Type="http://schemas.openxmlformats.org/officeDocument/2006/relationships/image" Target="../media/image20.emf" /><Relationship Id="rId10" Type="http://schemas.openxmlformats.org/officeDocument/2006/relationships/image" Target="../media/image21.emf" /><Relationship Id="rId11" Type="http://schemas.openxmlformats.org/officeDocument/2006/relationships/image" Target="../media/image27.emf" /><Relationship Id="rId12" Type="http://schemas.openxmlformats.org/officeDocument/2006/relationships/image" Target="../media/image23.emf" /><Relationship Id="rId13" Type="http://schemas.openxmlformats.org/officeDocument/2006/relationships/image" Target="../media/image22.emf" /><Relationship Id="rId14" Type="http://schemas.openxmlformats.org/officeDocument/2006/relationships/image" Target="../media/image2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Relationship Id="rId2" Type="http://schemas.openxmlformats.org/officeDocument/2006/relationships/image" Target="../media/image26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33</xdr:row>
      <xdr:rowOff>57150</xdr:rowOff>
    </xdr:from>
    <xdr:to>
      <xdr:col>6</xdr:col>
      <xdr:colOff>981075</xdr:colOff>
      <xdr:row>35</xdr:row>
      <xdr:rowOff>47625</xdr:rowOff>
    </xdr:to>
    <xdr:pic>
      <xdr:nvPicPr>
        <xdr:cNvPr id="1" name="Picture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5667375"/>
          <a:ext cx="1809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133350</xdr:rowOff>
    </xdr:from>
    <xdr:to>
      <xdr:col>3</xdr:col>
      <xdr:colOff>361950</xdr:colOff>
      <xdr:row>4</xdr:row>
      <xdr:rowOff>104775</xdr:rowOff>
    </xdr:to>
    <xdr:sp>
      <xdr:nvSpPr>
        <xdr:cNvPr id="1" name="AutoShape 3"/>
        <xdr:cNvSpPr>
          <a:spLocks/>
        </xdr:cNvSpPr>
      </xdr:nvSpPr>
      <xdr:spPr>
        <a:xfrm>
          <a:off x="790575" y="819150"/>
          <a:ext cx="2200275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89802" dir="15712193" sx="125000" sy="125000" algn="tl">
                  <a:srgbClr val="C7DFD3">
                    <a:alpha val="100000"/>
                  </a:srgbClr>
                </a:outerShdw>
              </a:effectLst>
              <a:latin typeface="Arial"/>
              <a:cs typeface="Arial"/>
            </a:rPr>
            <a:t>a) Cortante perimetral</a:t>
          </a:r>
        </a:p>
      </xdr:txBody>
    </xdr:sp>
    <xdr:clientData/>
  </xdr:twoCellAnchor>
  <xdr:twoCellAnchor>
    <xdr:from>
      <xdr:col>1</xdr:col>
      <xdr:colOff>28575</xdr:colOff>
      <xdr:row>14</xdr:row>
      <xdr:rowOff>133350</xdr:rowOff>
    </xdr:from>
    <xdr:to>
      <xdr:col>4</xdr:col>
      <xdr:colOff>171450</xdr:colOff>
      <xdr:row>15</xdr:row>
      <xdr:rowOff>104775</xdr:rowOff>
    </xdr:to>
    <xdr:sp>
      <xdr:nvSpPr>
        <xdr:cNvPr id="2" name="AutoShape 12"/>
        <xdr:cNvSpPr>
          <a:spLocks/>
        </xdr:cNvSpPr>
      </xdr:nvSpPr>
      <xdr:spPr>
        <a:xfrm>
          <a:off x="790575" y="3333750"/>
          <a:ext cx="2771775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89802" dir="15712193" sx="125000" sy="125000" algn="tl">
                  <a:srgbClr val="C7DFD3">
                    <a:alpha val="100000"/>
                  </a:srgbClr>
                </a:outerShdw>
              </a:effectLst>
              <a:latin typeface="Arial"/>
              <a:cs typeface="Arial"/>
            </a:rPr>
            <a:t>b) Cortante elemento ancho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4</xdr:row>
      <xdr:rowOff>180975</xdr:rowOff>
    </xdr:from>
    <xdr:to>
      <xdr:col>6</xdr:col>
      <xdr:colOff>676275</xdr:colOff>
      <xdr:row>4</xdr:row>
      <xdr:rowOff>180975</xdr:rowOff>
    </xdr:to>
    <xdr:sp>
      <xdr:nvSpPr>
        <xdr:cNvPr id="1" name="Line 4"/>
        <xdr:cNvSpPr>
          <a:spLocks/>
        </xdr:cNvSpPr>
      </xdr:nvSpPr>
      <xdr:spPr>
        <a:xfrm flipH="1" flipV="1">
          <a:off x="1676400" y="942975"/>
          <a:ext cx="3162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695325</xdr:colOff>
      <xdr:row>5</xdr:row>
      <xdr:rowOff>133350</xdr:rowOff>
    </xdr:from>
    <xdr:to>
      <xdr:col>2</xdr:col>
      <xdr:colOff>695325</xdr:colOff>
      <xdr:row>8</xdr:row>
      <xdr:rowOff>104775</xdr:rowOff>
    </xdr:to>
    <xdr:sp>
      <xdr:nvSpPr>
        <xdr:cNvPr id="2" name="Line 5"/>
        <xdr:cNvSpPr>
          <a:spLocks/>
        </xdr:cNvSpPr>
      </xdr:nvSpPr>
      <xdr:spPr>
        <a:xfrm flipH="1">
          <a:off x="2219325" y="10858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8</xdr:row>
      <xdr:rowOff>66675</xdr:rowOff>
    </xdr:from>
    <xdr:to>
      <xdr:col>3</xdr:col>
      <xdr:colOff>180975</xdr:colOff>
      <xdr:row>8</xdr:row>
      <xdr:rowOff>133350</xdr:rowOff>
    </xdr:to>
    <xdr:sp>
      <xdr:nvSpPr>
        <xdr:cNvPr id="3" name="Oval 6"/>
        <xdr:cNvSpPr>
          <a:spLocks/>
        </xdr:cNvSpPr>
      </xdr:nvSpPr>
      <xdr:spPr>
        <a:xfrm>
          <a:off x="2381250" y="1590675"/>
          <a:ext cx="85725" cy="66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7</xdr:row>
      <xdr:rowOff>47625</xdr:rowOff>
    </xdr:from>
    <xdr:to>
      <xdr:col>3</xdr:col>
      <xdr:colOff>295275</xdr:colOff>
      <xdr:row>8</xdr:row>
      <xdr:rowOff>57150</xdr:rowOff>
    </xdr:to>
    <xdr:sp>
      <xdr:nvSpPr>
        <xdr:cNvPr id="4" name="Line 7"/>
        <xdr:cNvSpPr>
          <a:spLocks/>
        </xdr:cNvSpPr>
      </xdr:nvSpPr>
      <xdr:spPr>
        <a:xfrm flipV="1">
          <a:off x="2457450" y="1381125"/>
          <a:ext cx="1238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7</xdr:row>
      <xdr:rowOff>47625</xdr:rowOff>
    </xdr:from>
    <xdr:to>
      <xdr:col>6</xdr:col>
      <xdr:colOff>514350</xdr:colOff>
      <xdr:row>7</xdr:row>
      <xdr:rowOff>104775</xdr:rowOff>
    </xdr:to>
    <xdr:sp>
      <xdr:nvSpPr>
        <xdr:cNvPr id="5" name="Line 8"/>
        <xdr:cNvSpPr>
          <a:spLocks/>
        </xdr:cNvSpPr>
      </xdr:nvSpPr>
      <xdr:spPr>
        <a:xfrm>
          <a:off x="2571750" y="1381125"/>
          <a:ext cx="21050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23</xdr:row>
      <xdr:rowOff>142875</xdr:rowOff>
    </xdr:from>
    <xdr:to>
      <xdr:col>6</xdr:col>
      <xdr:colOff>552450</xdr:colOff>
      <xdr:row>23</xdr:row>
      <xdr:rowOff>142875</xdr:rowOff>
    </xdr:to>
    <xdr:sp>
      <xdr:nvSpPr>
        <xdr:cNvPr id="6" name="Line 9"/>
        <xdr:cNvSpPr>
          <a:spLocks/>
        </xdr:cNvSpPr>
      </xdr:nvSpPr>
      <xdr:spPr>
        <a:xfrm flipH="1">
          <a:off x="2533650" y="4524375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20</xdr:row>
      <xdr:rowOff>123825</xdr:rowOff>
    </xdr:from>
    <xdr:to>
      <xdr:col>6</xdr:col>
      <xdr:colOff>552450</xdr:colOff>
      <xdr:row>23</xdr:row>
      <xdr:rowOff>142875</xdr:rowOff>
    </xdr:to>
    <xdr:sp>
      <xdr:nvSpPr>
        <xdr:cNvPr id="7" name="Line 10"/>
        <xdr:cNvSpPr>
          <a:spLocks/>
        </xdr:cNvSpPr>
      </xdr:nvSpPr>
      <xdr:spPr>
        <a:xfrm flipH="1" flipV="1">
          <a:off x="1028700" y="3933825"/>
          <a:ext cx="36861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685800</xdr:colOff>
      <xdr:row>5</xdr:row>
      <xdr:rowOff>133350</xdr:rowOff>
    </xdr:from>
    <xdr:to>
      <xdr:col>6</xdr:col>
      <xdr:colOff>495300</xdr:colOff>
      <xdr:row>7</xdr:row>
      <xdr:rowOff>104775</xdr:rowOff>
    </xdr:to>
    <xdr:sp>
      <xdr:nvSpPr>
        <xdr:cNvPr id="8" name="Line 11"/>
        <xdr:cNvSpPr>
          <a:spLocks/>
        </xdr:cNvSpPr>
      </xdr:nvSpPr>
      <xdr:spPr>
        <a:xfrm>
          <a:off x="2209800" y="1085850"/>
          <a:ext cx="24479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nzalo_lugo@hotmail.com" TargetMode="External" /><Relationship Id="rId2" Type="http://schemas.openxmlformats.org/officeDocument/2006/relationships/hyperlink" Target="mailto:chepe_chepe_@hotmail.com" TargetMode="External" /><Relationship Id="rId3" Type="http://schemas.openxmlformats.org/officeDocument/2006/relationships/hyperlink" Target="http://groups.msn.com/EstructurasycimentacionesESIA-901" TargetMode="External" /><Relationship Id="rId4" Type="http://schemas.openxmlformats.org/officeDocument/2006/relationships/hyperlink" Target="http://groups.msn.com/EstructurasycimentacionesESIA-901" TargetMode="External" /><Relationship Id="rId5" Type="http://schemas.openxmlformats.org/officeDocument/2006/relationships/oleObject" Target="../embeddings/oleObject_0_0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vmlDrawing" Target="../drawings/vmlDrawing2.vml" /><Relationship Id="rId1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oleObject" Target="../embeddings/oleObject_2_8.bin" /><Relationship Id="rId10" Type="http://schemas.openxmlformats.org/officeDocument/2006/relationships/oleObject" Target="../embeddings/oleObject_2_9.bin" /><Relationship Id="rId11" Type="http://schemas.openxmlformats.org/officeDocument/2006/relationships/oleObject" Target="../embeddings/oleObject_2_10.bin" /><Relationship Id="rId12" Type="http://schemas.openxmlformats.org/officeDocument/2006/relationships/oleObject" Target="../embeddings/oleObject_2_11.bin" /><Relationship Id="rId13" Type="http://schemas.openxmlformats.org/officeDocument/2006/relationships/oleObject" Target="../embeddings/oleObject_2_12.bin" /><Relationship Id="rId14" Type="http://schemas.openxmlformats.org/officeDocument/2006/relationships/oleObject" Target="../embeddings/oleObject_2_13.bin" /><Relationship Id="rId15" Type="http://schemas.openxmlformats.org/officeDocument/2006/relationships/vmlDrawing" Target="../drawings/vmlDrawing3.vml" /><Relationship Id="rId16" Type="http://schemas.openxmlformats.org/officeDocument/2006/relationships/drawing" Target="../drawings/drawing2.xml" /><Relationship Id="rId1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J33"/>
  <sheetViews>
    <sheetView workbookViewId="0" topLeftCell="B1">
      <selection activeCell="E20" sqref="E20:J20"/>
    </sheetView>
  </sheetViews>
  <sheetFormatPr defaultColWidth="11.421875" defaultRowHeight="12.75"/>
  <cols>
    <col min="1" max="6" width="11.421875" style="1" customWidth="1"/>
    <col min="7" max="7" width="15.28125" style="1" customWidth="1"/>
    <col min="8" max="9" width="11.421875" style="1" customWidth="1"/>
    <col min="10" max="10" width="12.28125" style="1" bestFit="1" customWidth="1"/>
    <col min="11" max="16384" width="11.421875" style="1" customWidth="1"/>
  </cols>
  <sheetData>
    <row r="1" spans="1:10" ht="12.75">
      <c r="A1" s="79" t="s">
        <v>5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2.75">
      <c r="A2" s="79"/>
      <c r="B2" s="79"/>
      <c r="C2" s="79"/>
      <c r="D2" s="79"/>
      <c r="E2" s="79"/>
      <c r="F2" s="79"/>
      <c r="G2" s="79"/>
      <c r="H2" s="79"/>
      <c r="I2" s="79"/>
      <c r="J2" s="79"/>
    </row>
    <row r="3" spans="1:10" ht="12.75">
      <c r="A3" s="79"/>
      <c r="B3" s="79"/>
      <c r="C3" s="79"/>
      <c r="D3" s="79"/>
      <c r="E3" s="79"/>
      <c r="F3" s="79"/>
      <c r="G3" s="79"/>
      <c r="H3" s="79"/>
      <c r="I3" s="79"/>
      <c r="J3" s="79"/>
    </row>
    <row r="4" spans="1:10" ht="12.75">
      <c r="A4" s="79"/>
      <c r="B4" s="79"/>
      <c r="C4" s="79"/>
      <c r="D4" s="79"/>
      <c r="E4" s="79"/>
      <c r="F4" s="79"/>
      <c r="G4" s="79"/>
      <c r="H4" s="79"/>
      <c r="I4" s="79"/>
      <c r="J4" s="79"/>
    </row>
    <row r="5" ht="13.5" thickBot="1"/>
    <row r="6" spans="5:9" ht="13.5" thickTop="1">
      <c r="E6" s="60" t="s">
        <v>0</v>
      </c>
      <c r="F6" s="61"/>
      <c r="G6" s="61"/>
      <c r="H6" s="61"/>
      <c r="I6" s="81"/>
    </row>
    <row r="7" spans="5:9" ht="13.5" thickBot="1">
      <c r="E7" s="82"/>
      <c r="F7" s="83"/>
      <c r="G7" s="83"/>
      <c r="H7" s="83"/>
      <c r="I7" s="84"/>
    </row>
    <row r="8" spans="5:9" ht="14.25" thickBot="1" thickTop="1">
      <c r="E8" s="2"/>
      <c r="F8" s="2"/>
      <c r="G8" s="2"/>
      <c r="H8" s="2"/>
      <c r="I8" s="2"/>
    </row>
    <row r="9" spans="1:9" s="54" customFormat="1" ht="13.5" thickTop="1">
      <c r="A9" s="52"/>
      <c r="B9" s="52"/>
      <c r="C9" s="52"/>
      <c r="D9" s="52"/>
      <c r="E9" s="80" t="s">
        <v>100</v>
      </c>
      <c r="F9" s="62"/>
      <c r="G9" s="63"/>
      <c r="H9" s="57">
        <v>55</v>
      </c>
      <c r="I9" s="53" t="s">
        <v>1</v>
      </c>
    </row>
    <row r="10" spans="5:9" s="54" customFormat="1" ht="12.75">
      <c r="E10" s="73" t="s">
        <v>2</v>
      </c>
      <c r="F10" s="74"/>
      <c r="G10" s="75"/>
      <c r="H10" s="58" t="s">
        <v>64</v>
      </c>
      <c r="I10" s="55"/>
    </row>
    <row r="11" spans="5:9" s="54" customFormat="1" ht="12.75">
      <c r="E11" s="73" t="s">
        <v>101</v>
      </c>
      <c r="F11" s="74"/>
      <c r="G11" s="75"/>
      <c r="H11" s="58">
        <v>45</v>
      </c>
      <c r="I11" s="55" t="s">
        <v>3</v>
      </c>
    </row>
    <row r="12" spans="5:9" s="54" customFormat="1" ht="12.75">
      <c r="E12" s="73" t="s">
        <v>102</v>
      </c>
      <c r="F12" s="74"/>
      <c r="G12" s="75"/>
      <c r="H12" s="58">
        <v>45</v>
      </c>
      <c r="I12" s="55" t="s">
        <v>3</v>
      </c>
    </row>
    <row r="13" spans="5:9" s="54" customFormat="1" ht="12.75">
      <c r="E13" s="73" t="s">
        <v>103</v>
      </c>
      <c r="F13" s="74"/>
      <c r="G13" s="75"/>
      <c r="H13" s="58">
        <v>1.2</v>
      </c>
      <c r="I13" s="55" t="s">
        <v>4</v>
      </c>
    </row>
    <row r="14" spans="5:9" s="54" customFormat="1" ht="14.25">
      <c r="E14" s="73" t="s">
        <v>104</v>
      </c>
      <c r="F14" s="74"/>
      <c r="G14" s="75"/>
      <c r="H14" s="58">
        <v>250</v>
      </c>
      <c r="I14" s="55" t="s">
        <v>105</v>
      </c>
    </row>
    <row r="15" spans="5:9" s="54" customFormat="1" ht="12.75">
      <c r="E15" s="76" t="s">
        <v>19</v>
      </c>
      <c r="F15" s="77"/>
      <c r="G15" s="78"/>
      <c r="H15" s="58">
        <v>1</v>
      </c>
      <c r="I15" s="55"/>
    </row>
    <row r="16" spans="5:9" s="54" customFormat="1" ht="14.25">
      <c r="E16" s="73" t="s">
        <v>106</v>
      </c>
      <c r="F16" s="74"/>
      <c r="G16" s="75"/>
      <c r="H16" s="58">
        <v>4200</v>
      </c>
      <c r="I16" s="55" t="s">
        <v>105</v>
      </c>
    </row>
    <row r="17" spans="5:9" s="54" customFormat="1" ht="15" thickBot="1">
      <c r="E17" s="65" t="s">
        <v>107</v>
      </c>
      <c r="F17" s="66"/>
      <c r="G17" s="67"/>
      <c r="H17" s="59">
        <v>17</v>
      </c>
      <c r="I17" s="56" t="s">
        <v>108</v>
      </c>
    </row>
    <row r="18" spans="5:9" ht="15.75" thickTop="1">
      <c r="E18" s="45"/>
      <c r="F18" s="45"/>
      <c r="G18" s="45"/>
      <c r="H18" s="46"/>
      <c r="I18" s="45"/>
    </row>
    <row r="19" spans="5:9" ht="15">
      <c r="E19" s="64" t="s">
        <v>89</v>
      </c>
      <c r="F19" s="64"/>
      <c r="G19" s="45"/>
      <c r="H19" s="46"/>
      <c r="I19" s="45"/>
    </row>
    <row r="20" spans="5:10" ht="12.75">
      <c r="E20" s="69" t="s">
        <v>98</v>
      </c>
      <c r="F20" s="69"/>
      <c r="G20" s="69"/>
      <c r="H20" s="69"/>
      <c r="I20" s="69"/>
      <c r="J20" s="69"/>
    </row>
    <row r="21" spans="5:6" ht="12.75">
      <c r="E21" s="69" t="s">
        <v>90</v>
      </c>
      <c r="F21" s="69"/>
    </row>
    <row r="22" spans="5:6" ht="12.75">
      <c r="E22" s="69" t="s">
        <v>91</v>
      </c>
      <c r="F22" s="69"/>
    </row>
    <row r="23" spans="5:7" ht="12.75">
      <c r="E23" s="69" t="s">
        <v>99</v>
      </c>
      <c r="F23" s="69"/>
      <c r="G23" s="69"/>
    </row>
    <row r="24" ht="12.75"/>
    <row r="25" spans="5:6" ht="12.75">
      <c r="E25" s="72" t="s">
        <v>15</v>
      </c>
      <c r="F25" s="72"/>
    </row>
    <row r="26" spans="5:10" ht="15.75">
      <c r="E26" s="6" t="s">
        <v>13</v>
      </c>
      <c r="F26" s="5"/>
      <c r="G26" s="4"/>
      <c r="H26" s="70" t="s">
        <v>14</v>
      </c>
      <c r="I26" s="70"/>
      <c r="J26" s="70"/>
    </row>
    <row r="27" spans="5:10" ht="15.75">
      <c r="E27" s="6" t="s">
        <v>87</v>
      </c>
      <c r="F27" s="4"/>
      <c r="G27" s="4"/>
      <c r="H27" s="70" t="s">
        <v>95</v>
      </c>
      <c r="I27" s="70"/>
      <c r="J27" s="70"/>
    </row>
    <row r="28" spans="5:9" ht="12.75">
      <c r="E28" s="3" t="s">
        <v>86</v>
      </c>
      <c r="F28" s="3"/>
      <c r="G28" s="3"/>
      <c r="H28" s="3"/>
      <c r="I28" s="3"/>
    </row>
    <row r="29" spans="6:9" ht="12.75">
      <c r="F29" s="3"/>
      <c r="G29" s="3"/>
      <c r="H29" s="3"/>
      <c r="I29" s="3"/>
    </row>
    <row r="30" spans="5:9" ht="12.75">
      <c r="E30" s="71" t="s">
        <v>109</v>
      </c>
      <c r="F30" s="71"/>
      <c r="G30" s="71"/>
      <c r="H30" s="71"/>
      <c r="I30" s="71"/>
    </row>
    <row r="33" spans="6:7" ht="12.75">
      <c r="F33" s="68" t="s">
        <v>110</v>
      </c>
      <c r="G33" s="68"/>
    </row>
    <row r="35" ht="12.75"/>
  </sheetData>
  <sheetProtection password="9295" sheet="1" objects="1" scenarios="1"/>
  <mergeCells count="21">
    <mergeCell ref="E21:F21"/>
    <mergeCell ref="E22:F22"/>
    <mergeCell ref="A1:J4"/>
    <mergeCell ref="E9:G9"/>
    <mergeCell ref="E10:G10"/>
    <mergeCell ref="E19:F19"/>
    <mergeCell ref="E20:J20"/>
    <mergeCell ref="E17:G17"/>
    <mergeCell ref="E6:I7"/>
    <mergeCell ref="E11:G11"/>
    <mergeCell ref="E12:G12"/>
    <mergeCell ref="E13:G13"/>
    <mergeCell ref="E14:G14"/>
    <mergeCell ref="E16:G16"/>
    <mergeCell ref="E15:G15"/>
    <mergeCell ref="F33:G33"/>
    <mergeCell ref="E23:G23"/>
    <mergeCell ref="H26:J26"/>
    <mergeCell ref="H27:J27"/>
    <mergeCell ref="E30:I30"/>
    <mergeCell ref="E25:F25"/>
  </mergeCells>
  <hyperlinks>
    <hyperlink ref="H26" r:id="rId1" tooltip="Mándame un correo electrónico..." display="gonzalo_lugo@hotmail.com"/>
    <hyperlink ref="H27" r:id="rId2" tooltip="Mándame un correo electrónico..." display="chepe_chepe_@hotmail.com"/>
    <hyperlink ref="E19" location="'Datos de Entrada'!A1" tooltip="dé click izquierdo para introducir datos de la zapata..." display="1.- Datos de entrada"/>
    <hyperlink ref="E20" location="'Area, Presiones, Peralte'!A1" tooltip="dé click izquierdo para visualizar el cálculo del área de la zapata, las presiones de contacto y el peralte preliminar..." display="2.- Area de la zapata, Presiones de contacto y peralte preliminar"/>
    <hyperlink ref="E21" location="'Revision del peralte'!A1" display="3.- Revisión del Peralte"/>
    <hyperlink ref="E22" location="'Diseño por flexión'!A1" display="4.- Diseño por flexión"/>
    <hyperlink ref="E23" location="Resumen!A1" tooltip="dé click izquierdo para ver el croquis de la zapata..." display="5.- Resumen de la Zapata con Carga Axial"/>
    <hyperlink ref="E21:F21" location="'Revision del peralte'!A1" tooltip="dé click izquierdo para revisar el peralte preliminar..." display="3.- Revisión del Peralte"/>
    <hyperlink ref="E22:F22" location="'Diseño por flexión'!A1" tooltip="dé click izquierdo para diseñar la zapata por flexión..." display="4.- Diseño por flexión"/>
    <hyperlink ref="E20:I20" location="'Area, Presiones, Peralte'!A1" tooltip="dé click izquierdo para visualizar el cálculo del área de la zapata, las presiones de contacto y el peralte preliminar..." display="2.- Cálculo del Area de la zapata, Presiones de contacto y Peralte preliminar"/>
    <hyperlink ref="E30" r:id="rId3" display="http://groups.msn.com/EstructurasycimentacionesESIA-901"/>
    <hyperlink ref="E30:I30" r:id="rId4" tooltip="Visita mi página..." display="http://groups.msn.com/EstructurasycimentacionesESIA-901"/>
  </hyperlinks>
  <printOptions/>
  <pageMargins left="1" right="0.55" top="1.39" bottom="1" header="0" footer="0"/>
  <pageSetup horizontalDpi="300" verticalDpi="300" orientation="landscape" r:id="rId8"/>
  <headerFooter alignWithMargins="0">
    <oddHeader>&amp;C&amp;"Times New Roman,Cursiva"Zapata sujeta a carga axial</oddHeader>
    <oddFooter>&amp;C&amp;"Times New Roman,Cursiva"Gonzalo Lugo Cruz 99310075 (gonzalo_lugo@hotmail.com, gonzalo_lugo@todito.com), José Rojas González 99311194 (chepe_chepe_@hotmail.com)</oddFooter>
  </headerFooter>
  <drawing r:id="rId7"/>
  <legacyDrawing r:id="rId6"/>
  <oleObjects>
    <oleObject progId="Drawing" shapeId="534375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3:M47"/>
  <sheetViews>
    <sheetView tabSelected="1" workbookViewId="0" topLeftCell="A2">
      <selection activeCell="A1" sqref="A1"/>
    </sheetView>
  </sheetViews>
  <sheetFormatPr defaultColWidth="11.421875" defaultRowHeight="12.75"/>
  <cols>
    <col min="1" max="1" width="2.421875" style="7" customWidth="1"/>
    <col min="2" max="6" width="11.421875" style="7" customWidth="1"/>
    <col min="7" max="7" width="4.28125" style="7" customWidth="1"/>
    <col min="8" max="8" width="5.8515625" style="7" customWidth="1"/>
    <col min="9" max="9" width="15.140625" style="7" hidden="1" customWidth="1"/>
    <col min="10" max="13" width="11.421875" style="7" hidden="1" customWidth="1"/>
    <col min="14" max="16384" width="11.421875" style="7" customWidth="1"/>
  </cols>
  <sheetData>
    <row r="2" ht="15.75" thickBot="1"/>
    <row r="3" spans="2:10" ht="15.75" thickTop="1">
      <c r="B3" s="60" t="s">
        <v>12</v>
      </c>
      <c r="C3" s="61"/>
      <c r="D3" s="61"/>
      <c r="E3" s="61"/>
      <c r="F3" s="81"/>
      <c r="J3" s="7">
        <v>1.4</v>
      </c>
    </row>
    <row r="4" spans="2:10" ht="15.75" thickBot="1">
      <c r="B4" s="82"/>
      <c r="C4" s="83"/>
      <c r="D4" s="83"/>
      <c r="E4" s="83"/>
      <c r="F4" s="84"/>
      <c r="I4" s="7">
        <f>IF('Datos de Entrada'!H10="B",'Area, Presiones, Peralte'!J3,'Area, Presiones, Peralte'!J4)</f>
        <v>1.4</v>
      </c>
      <c r="J4" s="7">
        <v>1.5</v>
      </c>
    </row>
    <row r="5" ht="16.5" thickBot="1" thickTop="1"/>
    <row r="6" spans="2:6" ht="19.5" thickTop="1">
      <c r="B6" s="13" t="s">
        <v>9</v>
      </c>
      <c r="C6" s="14"/>
      <c r="D6" s="115">
        <f>ROUND('Datos de Entrada'!H9*'Area, Presiones, Peralte'!I4,2)</f>
        <v>77</v>
      </c>
      <c r="E6" s="115"/>
      <c r="F6" s="15" t="s">
        <v>1</v>
      </c>
    </row>
    <row r="7" spans="2:6" ht="18.75">
      <c r="B7" s="16" t="s">
        <v>10</v>
      </c>
      <c r="C7" s="8"/>
      <c r="D7" s="116">
        <f>ROUND(1.3*'Datos de Entrada'!H9,2)</f>
        <v>71.5</v>
      </c>
      <c r="E7" s="116"/>
      <c r="F7" s="17" t="s">
        <v>1</v>
      </c>
    </row>
    <row r="8" spans="2:6" ht="18.75">
      <c r="B8" s="16" t="s">
        <v>11</v>
      </c>
      <c r="C8" s="8"/>
      <c r="D8" s="116">
        <f>ROUND(D7*I4,2)</f>
        <v>100.1</v>
      </c>
      <c r="E8" s="116"/>
      <c r="F8" s="17" t="s">
        <v>1</v>
      </c>
    </row>
    <row r="9" spans="2:10" ht="15">
      <c r="B9" s="85"/>
      <c r="C9" s="86"/>
      <c r="D9" s="91">
        <f>ROUND(D8/'Datos de Entrada'!H17,2)</f>
        <v>5.89</v>
      </c>
      <c r="E9" s="91"/>
      <c r="F9" s="93" t="s">
        <v>16</v>
      </c>
      <c r="J9" s="7">
        <f>-(('Datos de Entrada'!H11+'Datos de Entrada'!H12)/4)+0.25*(SQRT((POWER('Datos de Entrada'!H11+'Datos de Entrada'!H12,2))-4*(('Datos de Entrada'!H11*'Datos de Entrada'!H12)-('Area, Presiones, Peralte'!D9*10000))))</f>
        <v>98.84661099511597</v>
      </c>
    </row>
    <row r="10" spans="2:10" ht="15">
      <c r="B10" s="85"/>
      <c r="C10" s="86"/>
      <c r="D10" s="91"/>
      <c r="E10" s="91"/>
      <c r="F10" s="93"/>
      <c r="J10" s="7">
        <v>0</v>
      </c>
    </row>
    <row r="11" spans="2:6" ht="15">
      <c r="B11" s="85"/>
      <c r="C11" s="86"/>
      <c r="D11" s="91"/>
      <c r="E11" s="91"/>
      <c r="F11" s="93"/>
    </row>
    <row r="12" spans="2:10" ht="15">
      <c r="B12" s="85"/>
      <c r="C12" s="86"/>
      <c r="D12" s="91">
        <f>IF('Datos de Entrada'!H11='Datos de Entrada'!H12,J10,ROUNDUP(J9,0))</f>
        <v>0</v>
      </c>
      <c r="E12" s="91"/>
      <c r="F12" s="93" t="s">
        <v>3</v>
      </c>
      <c r="J12" s="7">
        <f>ROUND(SQRT(D9),2)</f>
        <v>2.43</v>
      </c>
    </row>
    <row r="13" spans="2:6" ht="15.75" customHeight="1">
      <c r="B13" s="85"/>
      <c r="C13" s="86"/>
      <c r="D13" s="91"/>
      <c r="E13" s="91"/>
      <c r="F13" s="93"/>
    </row>
    <row r="14" spans="2:6" ht="18.75" customHeight="1">
      <c r="B14" s="108"/>
      <c r="C14" s="109"/>
      <c r="D14" s="110">
        <f>IF(D12=J10,J12,('Datos de Entrada'!H12+2*('Area, Presiones, Peralte'!D12))/100)</f>
        <v>2.43</v>
      </c>
      <c r="E14" s="110"/>
      <c r="F14" s="18" t="s">
        <v>4</v>
      </c>
    </row>
    <row r="15" spans="2:6" ht="17.25" customHeight="1" thickBot="1">
      <c r="B15" s="88"/>
      <c r="C15" s="89"/>
      <c r="D15" s="90">
        <f>IF(D12=J10,J12,('Datos de Entrada'!H11+2*('Area, Presiones, Peralte'!D12))/100)</f>
        <v>2.43</v>
      </c>
      <c r="E15" s="90"/>
      <c r="F15" s="19" t="s">
        <v>4</v>
      </c>
    </row>
    <row r="16" spans="1:7" ht="17.25" customHeight="1" thickBot="1" thickTop="1">
      <c r="A16" s="9"/>
      <c r="B16" s="9"/>
      <c r="C16" s="9"/>
      <c r="D16" s="10"/>
      <c r="E16" s="10"/>
      <c r="F16" s="9"/>
      <c r="G16" s="9"/>
    </row>
    <row r="17" spans="1:7" ht="17.25" customHeight="1" thickTop="1">
      <c r="A17" s="9"/>
      <c r="B17" s="95" t="s">
        <v>22</v>
      </c>
      <c r="C17" s="96"/>
      <c r="D17" s="96"/>
      <c r="E17" s="96"/>
      <c r="F17" s="97"/>
      <c r="G17" s="9"/>
    </row>
    <row r="18" spans="1:7" ht="17.25" customHeight="1">
      <c r="A18" s="9"/>
      <c r="B18" s="85" t="s">
        <v>20</v>
      </c>
      <c r="C18" s="86"/>
      <c r="D18" s="87">
        <v>2.45</v>
      </c>
      <c r="E18" s="87"/>
      <c r="F18" s="17" t="s">
        <v>4</v>
      </c>
      <c r="G18" s="9"/>
    </row>
    <row r="19" spans="1:7" ht="17.25" customHeight="1" thickBot="1">
      <c r="A19" s="9"/>
      <c r="B19" s="88" t="s">
        <v>21</v>
      </c>
      <c r="C19" s="89"/>
      <c r="D19" s="114">
        <v>2.45</v>
      </c>
      <c r="E19" s="114"/>
      <c r="F19" s="19" t="s">
        <v>4</v>
      </c>
      <c r="G19" s="9"/>
    </row>
    <row r="20" spans="1:7" ht="17.25" customHeight="1" thickBot="1" thickTop="1">
      <c r="A20" s="9"/>
      <c r="B20" s="9"/>
      <c r="C20" s="9"/>
      <c r="D20" s="11"/>
      <c r="E20" s="11"/>
      <c r="F20" s="9"/>
      <c r="G20" s="9"/>
    </row>
    <row r="21" spans="2:6" ht="17.25" thickBot="1" thickTop="1">
      <c r="B21" s="111"/>
      <c r="C21" s="112"/>
      <c r="D21" s="113">
        <f>(((D15*100)-'Datos de Entrada'!H11)/2)/100</f>
        <v>0.9900000000000001</v>
      </c>
      <c r="E21" s="113"/>
      <c r="F21" s="20" t="s">
        <v>4</v>
      </c>
    </row>
    <row r="22" ht="16.5" thickBot="1" thickTop="1"/>
    <row r="23" spans="2:6" ht="15.75" thickTop="1">
      <c r="B23" s="60" t="s">
        <v>17</v>
      </c>
      <c r="C23" s="61"/>
      <c r="D23" s="61"/>
      <c r="E23" s="61"/>
      <c r="F23" s="81"/>
    </row>
    <row r="24" spans="2:6" ht="15.75" thickBot="1">
      <c r="B24" s="82"/>
      <c r="C24" s="83"/>
      <c r="D24" s="83"/>
      <c r="E24" s="83"/>
      <c r="F24" s="84"/>
    </row>
    <row r="25" ht="16.5" thickBot="1" thickTop="1">
      <c r="M25" s="7" t="s">
        <v>24</v>
      </c>
    </row>
    <row r="26" spans="2:13" ht="15.75" thickTop="1">
      <c r="B26" s="101"/>
      <c r="C26" s="102"/>
      <c r="D26" s="103">
        <f>ROUND(D8/(D18*D19),2)</f>
        <v>16.68</v>
      </c>
      <c r="E26" s="103"/>
      <c r="F26" s="104" t="s">
        <v>7</v>
      </c>
      <c r="G26" s="105" t="str">
        <f>L26</f>
        <v>&lt;</v>
      </c>
      <c r="H26" s="98" t="s">
        <v>18</v>
      </c>
      <c r="L26" s="7" t="str">
        <f>IF(D26&lt;'Datos de Entrada'!H17,'Area, Presiones, Peralte'!M25,'Area, Presiones, Peralte'!M26)</f>
        <v>&lt;</v>
      </c>
      <c r="M26" s="7" t="s">
        <v>23</v>
      </c>
    </row>
    <row r="27" spans="2:8" ht="15">
      <c r="B27" s="85"/>
      <c r="C27" s="86"/>
      <c r="D27" s="91"/>
      <c r="E27" s="91"/>
      <c r="F27" s="93"/>
      <c r="G27" s="106"/>
      <c r="H27" s="99"/>
    </row>
    <row r="28" spans="2:8" ht="15.75" thickBot="1">
      <c r="B28" s="85"/>
      <c r="C28" s="86"/>
      <c r="D28" s="91"/>
      <c r="E28" s="91"/>
      <c r="F28" s="93"/>
      <c r="G28" s="107"/>
      <c r="H28" s="100"/>
    </row>
    <row r="29" spans="2:6" ht="15" customHeight="1" thickTop="1">
      <c r="B29" s="85"/>
      <c r="C29" s="86"/>
      <c r="D29" s="91">
        <f>ROUND(D6/(D18*D19),2)</f>
        <v>12.83</v>
      </c>
      <c r="E29" s="91"/>
      <c r="F29" s="93" t="s">
        <v>7</v>
      </c>
    </row>
    <row r="30" spans="2:6" ht="15">
      <c r="B30" s="85"/>
      <c r="C30" s="86"/>
      <c r="D30" s="91"/>
      <c r="E30" s="91"/>
      <c r="F30" s="93"/>
    </row>
    <row r="31" spans="2:6" ht="15.75" thickBot="1">
      <c r="B31" s="88"/>
      <c r="C31" s="89"/>
      <c r="D31" s="92"/>
      <c r="E31" s="92"/>
      <c r="F31" s="94"/>
    </row>
    <row r="32" ht="16.5" thickBot="1" thickTop="1"/>
    <row r="33" spans="2:6" ht="15.75" customHeight="1" thickTop="1">
      <c r="B33" s="60" t="s">
        <v>25</v>
      </c>
      <c r="C33" s="61"/>
      <c r="D33" s="61"/>
      <c r="E33" s="61"/>
      <c r="F33" s="81"/>
    </row>
    <row r="34" spans="2:6" ht="15.75" customHeight="1" thickBot="1">
      <c r="B34" s="82"/>
      <c r="C34" s="83"/>
      <c r="D34" s="83"/>
      <c r="E34" s="83"/>
      <c r="F34" s="84"/>
    </row>
    <row r="35" ht="16.5" thickBot="1" thickTop="1">
      <c r="E35" s="12"/>
    </row>
    <row r="36" spans="2:6" ht="15.75" thickTop="1">
      <c r="B36" s="101"/>
      <c r="C36" s="102"/>
      <c r="D36" s="103">
        <f>((D29*D21*D21)/2)*100000</f>
        <v>628734.1500000001</v>
      </c>
      <c r="E36" s="103"/>
      <c r="F36" s="104" t="s">
        <v>26</v>
      </c>
    </row>
    <row r="37" spans="2:6" ht="15">
      <c r="B37" s="85"/>
      <c r="C37" s="86"/>
      <c r="D37" s="91"/>
      <c r="E37" s="91"/>
      <c r="F37" s="93"/>
    </row>
    <row r="38" spans="2:6" ht="15">
      <c r="B38" s="85"/>
      <c r="C38" s="86"/>
      <c r="D38" s="91"/>
      <c r="E38" s="91"/>
      <c r="F38" s="93"/>
    </row>
    <row r="39" spans="2:6" ht="15">
      <c r="B39" s="85"/>
      <c r="C39" s="86"/>
      <c r="D39" s="91">
        <f>ROUND(SQRT((D36/(14.8*'Datos de Entrada'!H14)))+6,2)</f>
        <v>19.04</v>
      </c>
      <c r="E39" s="91"/>
      <c r="F39" s="93" t="s">
        <v>3</v>
      </c>
    </row>
    <row r="40" spans="2:6" ht="15">
      <c r="B40" s="85"/>
      <c r="C40" s="86"/>
      <c r="D40" s="91"/>
      <c r="E40" s="91"/>
      <c r="F40" s="93"/>
    </row>
    <row r="41" spans="2:6" ht="15.75" thickBot="1">
      <c r="B41" s="88"/>
      <c r="C41" s="89"/>
      <c r="D41" s="92"/>
      <c r="E41" s="92"/>
      <c r="F41" s="94"/>
    </row>
    <row r="42" ht="16.5" thickBot="1" thickTop="1"/>
    <row r="43" spans="2:6" ht="16.5" thickTop="1">
      <c r="B43" s="95" t="s">
        <v>29</v>
      </c>
      <c r="C43" s="96"/>
      <c r="D43" s="96"/>
      <c r="E43" s="96"/>
      <c r="F43" s="97"/>
    </row>
    <row r="44" spans="2:6" ht="15.75">
      <c r="B44" s="85" t="s">
        <v>27</v>
      </c>
      <c r="C44" s="86"/>
      <c r="D44" s="87">
        <v>25</v>
      </c>
      <c r="E44" s="87"/>
      <c r="F44" s="17" t="s">
        <v>3</v>
      </c>
    </row>
    <row r="45" spans="2:6" ht="16.5" thickBot="1">
      <c r="B45" s="88" t="s">
        <v>28</v>
      </c>
      <c r="C45" s="89"/>
      <c r="D45" s="90">
        <f>D44+5</f>
        <v>30</v>
      </c>
      <c r="E45" s="90"/>
      <c r="F45" s="19" t="s">
        <v>3</v>
      </c>
    </row>
    <row r="46" ht="16.5" thickBot="1" thickTop="1"/>
    <row r="47" spans="2:6" ht="15.75" thickBot="1">
      <c r="B47" s="47" t="s">
        <v>93</v>
      </c>
      <c r="F47" s="48" t="s">
        <v>92</v>
      </c>
    </row>
  </sheetData>
  <sheetProtection password="9295" sheet="1" objects="1" scenarios="1"/>
  <mergeCells count="42">
    <mergeCell ref="B3:F4"/>
    <mergeCell ref="B9:C11"/>
    <mergeCell ref="D9:E11"/>
    <mergeCell ref="F9:F11"/>
    <mergeCell ref="D6:E6"/>
    <mergeCell ref="D7:E7"/>
    <mergeCell ref="D8:E8"/>
    <mergeCell ref="B15:C15"/>
    <mergeCell ref="D15:E15"/>
    <mergeCell ref="B21:C21"/>
    <mergeCell ref="D21:E21"/>
    <mergeCell ref="B18:C18"/>
    <mergeCell ref="B19:C19"/>
    <mergeCell ref="D18:E18"/>
    <mergeCell ref="D19:E19"/>
    <mergeCell ref="B17:F17"/>
    <mergeCell ref="B12:C13"/>
    <mergeCell ref="D12:E13"/>
    <mergeCell ref="F12:F13"/>
    <mergeCell ref="B14:C14"/>
    <mergeCell ref="D14:E14"/>
    <mergeCell ref="B23:F24"/>
    <mergeCell ref="B26:C28"/>
    <mergeCell ref="D26:E28"/>
    <mergeCell ref="F26:F28"/>
    <mergeCell ref="H26:H28"/>
    <mergeCell ref="B33:F34"/>
    <mergeCell ref="B36:C38"/>
    <mergeCell ref="D36:E38"/>
    <mergeCell ref="F36:F38"/>
    <mergeCell ref="B29:C31"/>
    <mergeCell ref="D29:E31"/>
    <mergeCell ref="F29:F31"/>
    <mergeCell ref="G26:G28"/>
    <mergeCell ref="B39:C41"/>
    <mergeCell ref="D39:E41"/>
    <mergeCell ref="F39:F41"/>
    <mergeCell ref="B43:F43"/>
    <mergeCell ref="B44:C44"/>
    <mergeCell ref="D44:E44"/>
    <mergeCell ref="B45:C45"/>
    <mergeCell ref="D45:E45"/>
  </mergeCells>
  <hyperlinks>
    <hyperlink ref="B47" location="'Datos de Entrada'!A1" tooltip="dé clich izquierdo para regresar..." display="Atrás..."/>
    <hyperlink ref="F47" location="'Revision del peralte'!A1" tooltip="dé click izquierdo para continuar..." display="Continuar..."/>
  </hyperlinks>
  <printOptions/>
  <pageMargins left="0.44" right="0.75" top="0.26" bottom="1" header="0" footer="0"/>
  <pageSetup horizontalDpi="300" verticalDpi="300" orientation="portrait" r:id="rId12"/>
  <legacyDrawing r:id="rId11"/>
  <oleObjects>
    <oleObject progId="Equation.3" shapeId="797221" r:id="rId1"/>
    <oleObject progId="Equation.3" shapeId="854009" r:id="rId2"/>
    <oleObject progId="Equation.3" shapeId="937837" r:id="rId3"/>
    <oleObject progId="Equation.3" shapeId="939712" r:id="rId4"/>
    <oleObject progId="Equation.3" shapeId="954331" r:id="rId5"/>
    <oleObject progId="Equation.3" shapeId="1035227" r:id="rId6"/>
    <oleObject progId="Equation.3" shapeId="1041168" r:id="rId7"/>
    <oleObject progId="Equation.3" shapeId="1116029" r:id="rId8"/>
    <oleObject progId="Equation.3" shapeId="1116741" r:id="rId9"/>
    <oleObject progId="Drawing" shapeId="1165960" r:id="rId10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2:Q55"/>
  <sheetViews>
    <sheetView workbookViewId="0" topLeftCell="A1">
      <selection activeCell="F52" sqref="F52"/>
    </sheetView>
  </sheetViews>
  <sheetFormatPr defaultColWidth="11.421875" defaultRowHeight="18" customHeight="1"/>
  <cols>
    <col min="1" max="2" width="11.421875" style="7" customWidth="1"/>
    <col min="3" max="3" width="16.57421875" style="7" customWidth="1"/>
    <col min="4" max="7" width="11.421875" style="7" customWidth="1"/>
    <col min="8" max="17" width="11.421875" style="7" hidden="1" customWidth="1"/>
    <col min="18" max="18" width="0" style="7" hidden="1" customWidth="1"/>
    <col min="19" max="16384" width="11.421875" style="7" customWidth="1"/>
  </cols>
  <sheetData>
    <row r="1" ht="18" customHeight="1" thickBot="1"/>
    <row r="2" spans="2:6" ht="18" customHeight="1" thickTop="1">
      <c r="B2" s="123" t="s">
        <v>30</v>
      </c>
      <c r="C2" s="124"/>
      <c r="D2" s="124"/>
      <c r="E2" s="124"/>
      <c r="F2" s="125"/>
    </row>
    <row r="3" spans="2:6" ht="18" customHeight="1" thickBot="1">
      <c r="B3" s="126"/>
      <c r="C3" s="127"/>
      <c r="D3" s="127"/>
      <c r="E3" s="127"/>
      <c r="F3" s="128"/>
    </row>
    <row r="4" ht="18" customHeight="1" thickTop="1"/>
    <row r="6" spans="2:6" ht="18" customHeight="1">
      <c r="B6" s="86"/>
      <c r="C6" s="86"/>
      <c r="D6" s="91">
        <f>'Datos de Entrada'!H11+'Area, Presiones, Peralte'!D44:E44</f>
        <v>70</v>
      </c>
      <c r="E6" s="91"/>
      <c r="F6" s="21" t="s">
        <v>3</v>
      </c>
    </row>
    <row r="7" spans="2:6" ht="18" customHeight="1">
      <c r="B7" s="86"/>
      <c r="C7" s="86"/>
      <c r="D7" s="91">
        <f>'Datos de Entrada'!H12+'Area, Presiones, Peralte'!D44:E44</f>
        <v>70</v>
      </c>
      <c r="E7" s="91"/>
      <c r="F7" s="21" t="s">
        <v>3</v>
      </c>
    </row>
    <row r="8" spans="2:10" ht="18" customHeight="1">
      <c r="B8" s="86"/>
      <c r="C8" s="86"/>
      <c r="D8" s="86"/>
      <c r="E8" s="22">
        <f>2*D6+2*D7</f>
        <v>280</v>
      </c>
      <c r="F8" s="21" t="s">
        <v>3</v>
      </c>
      <c r="J8" s="7" t="s">
        <v>24</v>
      </c>
    </row>
    <row r="9" spans="2:10" ht="18" customHeight="1">
      <c r="B9" s="86"/>
      <c r="C9" s="86"/>
      <c r="D9" s="116">
        <f>'Area, Presiones, Peralte'!D6:E6</f>
        <v>77</v>
      </c>
      <c r="E9" s="91"/>
      <c r="F9" s="21" t="s">
        <v>1</v>
      </c>
      <c r="J9" s="7" t="s">
        <v>23</v>
      </c>
    </row>
    <row r="10" spans="2:6" ht="18" customHeight="1">
      <c r="B10" s="86"/>
      <c r="C10" s="86"/>
      <c r="D10" s="91">
        <f>ROUND((D9/('Area, Presiones, Peralte'!D44:E44*'Revision del peralte'!E8))*1000,2)</f>
        <v>11</v>
      </c>
      <c r="E10" s="91"/>
      <c r="F10" s="86" t="s">
        <v>6</v>
      </c>
    </row>
    <row r="11" spans="2:12" ht="18" customHeight="1">
      <c r="B11" s="86"/>
      <c r="C11" s="86"/>
      <c r="D11" s="91"/>
      <c r="E11" s="91"/>
      <c r="F11" s="86"/>
      <c r="H11" s="117" t="s">
        <v>31</v>
      </c>
      <c r="I11" s="117"/>
      <c r="J11" s="117"/>
      <c r="K11" s="117"/>
      <c r="L11" s="117"/>
    </row>
    <row r="12" spans="2:12" ht="18" customHeight="1">
      <c r="B12" s="86"/>
      <c r="C12" s="86"/>
      <c r="D12" s="91">
        <f>ROUND(0.8*SQRT(0.8*'Datos de Entrada'!H14),2)</f>
        <v>11.31</v>
      </c>
      <c r="E12" s="91"/>
      <c r="F12" s="21" t="s">
        <v>6</v>
      </c>
      <c r="H12" s="117" t="s">
        <v>32</v>
      </c>
      <c r="I12" s="117"/>
      <c r="J12" s="117"/>
      <c r="K12" s="117"/>
      <c r="L12" s="117"/>
    </row>
    <row r="13" ht="18" customHeight="1">
      <c r="D13" s="35" t="str">
        <f>IF(D12&lt;D10,J8,J9)</f>
        <v>&gt;</v>
      </c>
    </row>
    <row r="14" spans="2:6" ht="18" customHeight="1">
      <c r="B14" s="129" t="str">
        <f>IF(D12&lt;D10,H11,H12)</f>
        <v>Procedemos a la siguiente revisión...</v>
      </c>
      <c r="C14" s="129"/>
      <c r="D14" s="129"/>
      <c r="E14" s="129"/>
      <c r="F14" s="129"/>
    </row>
    <row r="17" spans="2:3" ht="18" customHeight="1">
      <c r="B17" s="86"/>
      <c r="C17" s="86"/>
    </row>
    <row r="18" spans="2:12" ht="18" customHeight="1">
      <c r="B18" s="119" t="s">
        <v>33</v>
      </c>
      <c r="C18" s="86"/>
      <c r="D18" s="91">
        <f>4*'Area, Presiones, Peralte'!D44:E44</f>
        <v>100</v>
      </c>
      <c r="E18" s="91"/>
      <c r="F18" s="21" t="s">
        <v>3</v>
      </c>
      <c r="H18" s="117" t="s">
        <v>34</v>
      </c>
      <c r="I18" s="117"/>
      <c r="J18" s="117"/>
      <c r="K18" s="117"/>
      <c r="L18" s="117"/>
    </row>
    <row r="19" spans="3:12" ht="18" customHeight="1">
      <c r="C19" s="22">
        <f>('Area, Presiones, Peralte'!D18)*100</f>
        <v>245.00000000000003</v>
      </c>
      <c r="D19" s="22" t="str">
        <f>IF(C19&gt;E19,J9,J8)</f>
        <v>&gt;</v>
      </c>
      <c r="E19" s="22">
        <f>D18</f>
        <v>100</v>
      </c>
      <c r="F19" s="21" t="s">
        <v>3</v>
      </c>
      <c r="H19" s="118" t="s">
        <v>38</v>
      </c>
      <c r="I19" s="118"/>
      <c r="J19" s="118"/>
      <c r="K19" s="118"/>
      <c r="L19" s="118"/>
    </row>
    <row r="20" spans="2:12" ht="18" customHeight="1">
      <c r="B20" s="122" t="str">
        <f>IF(C19&gt;E19,H18,H19)</f>
        <v>se cumple la condición, evaluaremos la siguiente...</v>
      </c>
      <c r="C20" s="122"/>
      <c r="D20" s="122"/>
      <c r="E20" s="122"/>
      <c r="F20" s="122"/>
      <c r="H20" s="118"/>
      <c r="I20" s="118"/>
      <c r="J20" s="118"/>
      <c r="K20" s="118"/>
      <c r="L20" s="118"/>
    </row>
    <row r="21" spans="2:12" ht="18" customHeight="1">
      <c r="B21" s="86"/>
      <c r="C21" s="86"/>
      <c r="H21" s="117" t="s">
        <v>96</v>
      </c>
      <c r="I21" s="117"/>
      <c r="J21" s="117"/>
      <c r="K21" s="117"/>
      <c r="L21" s="117"/>
    </row>
    <row r="22" spans="2:6" ht="18" customHeight="1">
      <c r="B22" s="119" t="s">
        <v>28</v>
      </c>
      <c r="C22" s="86"/>
      <c r="D22" s="120">
        <f>'Area, Presiones, Peralte'!D45:E45</f>
        <v>30</v>
      </c>
      <c r="E22" s="121"/>
      <c r="F22" s="21" t="s">
        <v>3</v>
      </c>
    </row>
    <row r="23" spans="3:6" ht="18" customHeight="1">
      <c r="C23" s="22">
        <f>D22</f>
        <v>30</v>
      </c>
      <c r="D23" s="22" t="str">
        <f>IF(C23&lt;E23,J8,J9)</f>
        <v>&lt;</v>
      </c>
      <c r="E23" s="21">
        <v>60</v>
      </c>
      <c r="F23" s="21" t="s">
        <v>3</v>
      </c>
    </row>
    <row r="24" spans="2:6" ht="18" customHeight="1">
      <c r="B24" s="122" t="str">
        <f>IF(C23&lt;E23,H18,H19)</f>
        <v>se cumple la condición, evaluaremos la siguiente...</v>
      </c>
      <c r="C24" s="122"/>
      <c r="D24" s="122"/>
      <c r="E24" s="122"/>
      <c r="F24" s="122"/>
    </row>
    <row r="25" ht="18" customHeight="1">
      <c r="B25" s="86"/>
    </row>
    <row r="26" ht="18" customHeight="1">
      <c r="B26" s="133"/>
    </row>
    <row r="27" spans="2:6" ht="18" customHeight="1">
      <c r="B27" s="86"/>
      <c r="C27" s="86"/>
      <c r="D27" s="91">
        <f>ROUND(('Area, Presiones, Peralte'!D29*POWER(('Area, Presiones, Peralte'!D21:E21-('Area, Presiones, Peralte'!D44:E44/100)),2))/2,2)</f>
        <v>3.51</v>
      </c>
      <c r="E27" s="91"/>
      <c r="F27" s="86" t="s">
        <v>35</v>
      </c>
    </row>
    <row r="28" spans="2:6" ht="18" customHeight="1">
      <c r="B28" s="86"/>
      <c r="C28" s="86"/>
      <c r="D28" s="91"/>
      <c r="E28" s="91"/>
      <c r="F28" s="86"/>
    </row>
    <row r="29" spans="2:6" ht="18" customHeight="1">
      <c r="B29" s="86"/>
      <c r="C29" s="86"/>
      <c r="D29" s="91">
        <f>ROUND(('Area, Presiones, Peralte'!D29*POWER(('Area, Presiones, Peralte'!D21:E21-('Area, Presiones, Peralte'!D44:E44/100)),1))/1,2)</f>
        <v>9.49</v>
      </c>
      <c r="E29" s="91"/>
      <c r="F29" s="86" t="s">
        <v>1</v>
      </c>
    </row>
    <row r="30" spans="2:12" ht="18" customHeight="1">
      <c r="B30" s="86"/>
      <c r="C30" s="86"/>
      <c r="D30" s="91"/>
      <c r="E30" s="91"/>
      <c r="F30" s="86"/>
      <c r="J30" s="7" t="s">
        <v>66</v>
      </c>
      <c r="K30" s="36"/>
      <c r="L30" s="36"/>
    </row>
    <row r="31" spans="2:14" ht="18" customHeight="1">
      <c r="B31" s="86"/>
      <c r="C31" s="86"/>
      <c r="D31" s="91">
        <f>ROUND(D27/(D29*('Area, Presiones, Peralte'!D44:E44/100)),2)</f>
        <v>1.48</v>
      </c>
      <c r="E31" s="91"/>
      <c r="J31" s="7" t="s">
        <v>67</v>
      </c>
      <c r="L31" s="37" t="s">
        <v>77</v>
      </c>
      <c r="N31" s="49" t="s">
        <v>76</v>
      </c>
    </row>
    <row r="32" spans="2:12" ht="18" customHeight="1">
      <c r="B32" s="86"/>
      <c r="C32" s="86"/>
      <c r="D32" s="91"/>
      <c r="E32" s="91"/>
      <c r="J32" s="7" t="s">
        <v>69</v>
      </c>
      <c r="L32" s="38" t="s">
        <v>77</v>
      </c>
    </row>
    <row r="33" spans="3:5" ht="18" customHeight="1">
      <c r="C33" s="22">
        <f>D31</f>
        <v>1.48</v>
      </c>
      <c r="D33" s="22" t="str">
        <f>IF(C33&lt;E33,J8,J9)</f>
        <v>&lt;</v>
      </c>
      <c r="E33" s="21">
        <v>2</v>
      </c>
    </row>
    <row r="34" spans="2:15" ht="18" customHeight="1">
      <c r="B34" s="122" t="str">
        <f>IF(C33&lt;E33,H21,H19)</f>
        <v>se cumple la condición...</v>
      </c>
      <c r="C34" s="122"/>
      <c r="D34" s="122"/>
      <c r="E34" s="122"/>
      <c r="F34" s="122"/>
      <c r="J34" s="39" t="s">
        <v>36</v>
      </c>
      <c r="K34" s="39"/>
      <c r="L34" s="50">
        <f>ROUND((D29*1000)/(100*'Area, Presiones, Peralte'!D44),2)</f>
        <v>3.8</v>
      </c>
      <c r="N34" s="7" t="str">
        <f>IF(L34&lt;L35,P43,O44)</f>
        <v>Seguimos con el diseño por flexión...</v>
      </c>
      <c r="O34" s="7" t="s">
        <v>24</v>
      </c>
    </row>
    <row r="35" spans="2:15" ht="18" customHeight="1" thickBot="1">
      <c r="B35" s="30"/>
      <c r="C35" s="30"/>
      <c r="D35" s="30"/>
      <c r="E35" s="30"/>
      <c r="F35" s="30"/>
      <c r="J35" s="39" t="s">
        <v>37</v>
      </c>
      <c r="L35" s="50">
        <f>ROUND(0.8*0.5*SQRT(0.8*'Datos de Entrada'!H14),2)</f>
        <v>5.66</v>
      </c>
      <c r="O35" s="7" t="s">
        <v>23</v>
      </c>
    </row>
    <row r="36" spans="2:6" ht="18" customHeight="1" thickTop="1">
      <c r="B36" s="95" t="s">
        <v>65</v>
      </c>
      <c r="C36" s="96"/>
      <c r="D36" s="96"/>
      <c r="E36" s="96"/>
      <c r="F36" s="97"/>
    </row>
    <row r="37" spans="2:10" ht="18" customHeight="1" thickBot="1">
      <c r="B37" s="88" t="s">
        <v>68</v>
      </c>
      <c r="C37" s="89"/>
      <c r="D37" s="130" t="s">
        <v>66</v>
      </c>
      <c r="E37" s="131"/>
      <c r="F37" s="132"/>
      <c r="J37" s="39" t="s">
        <v>78</v>
      </c>
    </row>
    <row r="38" spans="1:12" ht="18" customHeight="1" thickTop="1">
      <c r="A38" s="9"/>
      <c r="B38" s="134" t="str">
        <f>IF(D37=J31,N31,L32)</f>
        <v>.</v>
      </c>
      <c r="C38" s="134"/>
      <c r="D38" s="134"/>
      <c r="E38" s="134"/>
      <c r="F38" s="134"/>
      <c r="G38" s="9"/>
      <c r="J38" s="39" t="s">
        <v>72</v>
      </c>
      <c r="L38" s="7">
        <f>ROUND('Diseño por flexión'!D13/(100*'Area, Presiones, Peralte'!D44),4)</f>
        <v>0.0031</v>
      </c>
    </row>
    <row r="39" spans="1:17" ht="18" customHeight="1">
      <c r="A39" s="9"/>
      <c r="B39" s="119" t="str">
        <f>IF(D37=J31,J38,L31)</f>
        <v>.</v>
      </c>
      <c r="C39" s="119"/>
      <c r="D39" s="110" t="str">
        <f>IF(D37=J31,L38,L31)</f>
        <v>.</v>
      </c>
      <c r="E39" s="110"/>
      <c r="F39" s="9"/>
      <c r="G39" s="9"/>
      <c r="J39" s="7" t="s">
        <v>70</v>
      </c>
      <c r="L39" s="39" t="s">
        <v>73</v>
      </c>
      <c r="N39" s="7">
        <f>ROUND(0.8*(0.2+20*L38)*SQRT(0.8*'Datos de Entrada'!H14),2)</f>
        <v>2.96</v>
      </c>
      <c r="P39" s="7" t="s">
        <v>82</v>
      </c>
      <c r="Q39" s="7" t="s">
        <v>24</v>
      </c>
    </row>
    <row r="40" spans="1:17" ht="18" customHeight="1">
      <c r="A40" s="9"/>
      <c r="B40" s="119" t="s">
        <v>75</v>
      </c>
      <c r="C40" s="119"/>
      <c r="D40" s="110">
        <f>L34</f>
        <v>3.8</v>
      </c>
      <c r="E40" s="110"/>
      <c r="F40" s="21" t="s">
        <v>6</v>
      </c>
      <c r="G40" s="9"/>
      <c r="J40" s="7" t="s">
        <v>71</v>
      </c>
      <c r="L40" s="39" t="s">
        <v>74</v>
      </c>
      <c r="N40" s="7">
        <f>ROUND(0.8*0.5*SQRT(0.8*'Datos de Entrada'!H14),2)</f>
        <v>5.66</v>
      </c>
      <c r="P40" s="7" t="s">
        <v>83</v>
      </c>
      <c r="Q40" s="7" t="s">
        <v>23</v>
      </c>
    </row>
    <row r="41" spans="1:16" ht="18" customHeight="1">
      <c r="A41" s="9"/>
      <c r="B41" s="119" t="str">
        <f>IF(D37=J30,J35,L32)</f>
        <v>VCR = FR*0.5*(f*c)1/2</v>
      </c>
      <c r="C41" s="119"/>
      <c r="D41" s="110">
        <f>IF(D37=J30,L35,L31)</f>
        <v>5.66</v>
      </c>
      <c r="E41" s="110"/>
      <c r="F41" s="40" t="str">
        <f>IF(D37=J30,F40,L32)</f>
        <v>Kg/cm2</v>
      </c>
      <c r="G41" s="9"/>
      <c r="J41" s="7">
        <v>0.15</v>
      </c>
      <c r="P41" s="7" t="str">
        <f>IF(L34&lt;L35,Q39,Q40)</f>
        <v>&lt;</v>
      </c>
    </row>
    <row r="42" spans="1:16" ht="18" customHeight="1">
      <c r="A42" s="9"/>
      <c r="B42" s="41"/>
      <c r="C42" s="23" t="str">
        <f>IF(D37=J30,P40,L31)</f>
        <v>VU</v>
      </c>
      <c r="D42" s="42" t="str">
        <f>IF(D37=J30,P41,L31)</f>
        <v>&lt;</v>
      </c>
      <c r="E42" s="43" t="str">
        <f>IF(D37=J30,P39,L31)</f>
        <v>VCR</v>
      </c>
      <c r="F42" s="44"/>
      <c r="G42" s="9"/>
      <c r="P42" s="7" t="str">
        <f>IF(L34&gt;L35,H11,P43)</f>
        <v>Seguimos con el diseño por flexión...</v>
      </c>
    </row>
    <row r="43" spans="1:16" ht="18" customHeight="1">
      <c r="A43" s="9"/>
      <c r="B43" s="135" t="str">
        <f>IF(D37=J30,N34,L32)</f>
        <v>Seguimos con el diseño por flexión...</v>
      </c>
      <c r="C43" s="135"/>
      <c r="D43" s="135"/>
      <c r="E43" s="135"/>
      <c r="F43" s="135"/>
      <c r="G43" s="9"/>
      <c r="O43" s="50"/>
      <c r="P43" s="51" t="s">
        <v>84</v>
      </c>
    </row>
    <row r="44" spans="1:15" ht="18" customHeight="1" thickBot="1">
      <c r="A44" s="9"/>
      <c r="B44" s="136"/>
      <c r="C44" s="136"/>
      <c r="D44" s="136"/>
      <c r="E44" s="136"/>
      <c r="F44" s="136"/>
      <c r="G44" s="9"/>
      <c r="O44" s="51" t="s">
        <v>97</v>
      </c>
    </row>
    <row r="45" spans="1:11" ht="18" customHeight="1" thickTop="1">
      <c r="A45" s="9"/>
      <c r="B45" s="95" t="str">
        <f>IF(D37=J31,J45,L31)</f>
        <v>.</v>
      </c>
      <c r="C45" s="96"/>
      <c r="D45" s="96"/>
      <c r="E45" s="96"/>
      <c r="F45" s="97"/>
      <c r="G45" s="9"/>
      <c r="J45" s="39" t="s">
        <v>79</v>
      </c>
      <c r="K45" s="39"/>
    </row>
    <row r="46" spans="1:10" ht="18" customHeight="1" thickBot="1">
      <c r="A46" s="9"/>
      <c r="B46" s="88" t="str">
        <f>IF(D37=J31,J46,L32)</f>
        <v>.</v>
      </c>
      <c r="C46" s="89"/>
      <c r="D46" s="130" t="s">
        <v>66</v>
      </c>
      <c r="E46" s="131"/>
      <c r="F46" s="132"/>
      <c r="G46" s="9"/>
      <c r="J46" s="39" t="s">
        <v>68</v>
      </c>
    </row>
    <row r="47" spans="1:17" ht="18" customHeight="1" thickTop="1">
      <c r="A47" s="9"/>
      <c r="B47" s="137" t="str">
        <f>IF(D37=J31,J50,L31)</f>
        <v>.</v>
      </c>
      <c r="C47" s="137"/>
      <c r="D47" s="137"/>
      <c r="E47" s="137"/>
      <c r="F47" s="137"/>
      <c r="G47" s="9"/>
      <c r="J47" s="7" t="s">
        <v>81</v>
      </c>
      <c r="O47" s="7">
        <f>L34</f>
        <v>3.8</v>
      </c>
      <c r="P47" s="7" t="str">
        <f>IF(O47&lt;Q47,Q39,Q40)</f>
        <v>&gt;</v>
      </c>
      <c r="Q47" s="7">
        <f>N39</f>
        <v>2.96</v>
      </c>
    </row>
    <row r="48" spans="1:17" ht="18" customHeight="1">
      <c r="A48" s="9"/>
      <c r="B48" s="119" t="str">
        <f>IF(D37=J31,J52,L31)</f>
        <v>.</v>
      </c>
      <c r="C48" s="119"/>
      <c r="D48" s="91" t="str">
        <f>IF(D37=J31,L52,L31)</f>
        <v>.</v>
      </c>
      <c r="E48" s="91"/>
      <c r="F48" s="21" t="str">
        <f>IF(D37=J31,F40,L31)</f>
        <v>.</v>
      </c>
      <c r="G48" s="9"/>
      <c r="J48" s="7" t="s">
        <v>80</v>
      </c>
      <c r="O48" s="7">
        <f>O47</f>
        <v>3.8</v>
      </c>
      <c r="P48" s="7" t="str">
        <f>IF(O48&lt;Q48,Q39,Q40)</f>
        <v>&lt;</v>
      </c>
      <c r="Q48" s="7">
        <f>N40</f>
        <v>5.66</v>
      </c>
    </row>
    <row r="49" spans="1:7" ht="18" customHeight="1">
      <c r="A49" s="9"/>
      <c r="B49" s="9"/>
      <c r="C49" s="23" t="str">
        <f>IF(D37=J31,P40,L31)</f>
        <v>.</v>
      </c>
      <c r="D49" s="22" t="str">
        <f>IF(D37=J31,P50,L31)</f>
        <v>.</v>
      </c>
      <c r="E49" s="23" t="str">
        <f>IF(D37=J31,P39,L31)</f>
        <v>.</v>
      </c>
      <c r="F49" s="9"/>
      <c r="G49" s="9"/>
    </row>
    <row r="50" spans="2:16" ht="18" customHeight="1">
      <c r="B50" s="129" t="str">
        <f>IF(D37=J31,M55,L32)</f>
        <v>.</v>
      </c>
      <c r="C50" s="129"/>
      <c r="D50" s="129"/>
      <c r="E50" s="129"/>
      <c r="F50" s="129"/>
      <c r="J50" s="7" t="str">
        <f>IF(D46=J30,J47,J48)</f>
        <v>usaremos la ecuación 2.19 de las NTC-Concreto</v>
      </c>
      <c r="P50" s="7" t="str">
        <f>IF(D46=J30,P47,P48)</f>
        <v>&gt;</v>
      </c>
    </row>
    <row r="51" ht="18" customHeight="1" thickBot="1"/>
    <row r="52" spans="2:17" ht="18" customHeight="1" thickBot="1">
      <c r="B52" s="47" t="s">
        <v>93</v>
      </c>
      <c r="F52" s="48" t="s">
        <v>92</v>
      </c>
      <c r="J52" s="7" t="str">
        <f>IF(L38&lt;J41,L39,L40)</f>
        <v>VCR=FR(0.2+20p)(f*c)1/2=</v>
      </c>
      <c r="L52" s="7">
        <f>IF(L38&lt;J41,N39,N40)</f>
        <v>2.96</v>
      </c>
      <c r="Q52" s="7" t="s">
        <v>23</v>
      </c>
    </row>
    <row r="53" ht="18" customHeight="1">
      <c r="Q53" s="7" t="s">
        <v>24</v>
      </c>
    </row>
    <row r="54" ht="18" customHeight="1">
      <c r="Q54" s="7" t="s">
        <v>84</v>
      </c>
    </row>
    <row r="55" ht="18" customHeight="1">
      <c r="M55" s="7" t="str">
        <f>IF(P50=Q52,H11,Q54)</f>
        <v>Regrese al punto 3 y suba el peralte de la zapata...</v>
      </c>
    </row>
  </sheetData>
  <sheetProtection password="9295" sheet="1" objects="1" scenarios="1"/>
  <mergeCells count="56">
    <mergeCell ref="B50:F50"/>
    <mergeCell ref="B39:C39"/>
    <mergeCell ref="B40:C40"/>
    <mergeCell ref="D40:E40"/>
    <mergeCell ref="D39:E39"/>
    <mergeCell ref="B46:C46"/>
    <mergeCell ref="D46:F46"/>
    <mergeCell ref="B47:F47"/>
    <mergeCell ref="B48:C48"/>
    <mergeCell ref="D48:E48"/>
    <mergeCell ref="B38:F38"/>
    <mergeCell ref="B41:C41"/>
    <mergeCell ref="D41:E41"/>
    <mergeCell ref="B45:F45"/>
    <mergeCell ref="B43:F43"/>
    <mergeCell ref="B44:F44"/>
    <mergeCell ref="D31:E32"/>
    <mergeCell ref="B34:F34"/>
    <mergeCell ref="H21:L21"/>
    <mergeCell ref="B24:F24"/>
    <mergeCell ref="B25:B26"/>
    <mergeCell ref="B36:F36"/>
    <mergeCell ref="B37:C37"/>
    <mergeCell ref="D37:F37"/>
    <mergeCell ref="B27:C28"/>
    <mergeCell ref="D27:E28"/>
    <mergeCell ref="F27:F28"/>
    <mergeCell ref="B29:C30"/>
    <mergeCell ref="D29:E30"/>
    <mergeCell ref="F29:F30"/>
    <mergeCell ref="B31:C32"/>
    <mergeCell ref="B14:F14"/>
    <mergeCell ref="H11:L11"/>
    <mergeCell ref="H12:L12"/>
    <mergeCell ref="B10:C11"/>
    <mergeCell ref="D10:E11"/>
    <mergeCell ref="F10:F11"/>
    <mergeCell ref="B12:C12"/>
    <mergeCell ref="D12:E12"/>
    <mergeCell ref="B17:C17"/>
    <mergeCell ref="B20:F20"/>
    <mergeCell ref="B2:F3"/>
    <mergeCell ref="B6:C6"/>
    <mergeCell ref="D6:E6"/>
    <mergeCell ref="B7:C7"/>
    <mergeCell ref="D7:E7"/>
    <mergeCell ref="B8:D8"/>
    <mergeCell ref="B9:C9"/>
    <mergeCell ref="D9:E9"/>
    <mergeCell ref="H18:L18"/>
    <mergeCell ref="H19:L20"/>
    <mergeCell ref="B21:C21"/>
    <mergeCell ref="B22:C22"/>
    <mergeCell ref="D22:E22"/>
    <mergeCell ref="B18:C18"/>
    <mergeCell ref="D18:E18"/>
  </mergeCells>
  <hyperlinks>
    <hyperlink ref="B52" location="'Area, Presiones, Peralte'!A1" tooltip="dé clich izquierdo para regresar..." display="Atrás..."/>
    <hyperlink ref="F52" location="'Diseño por flexión'!A1" tooltip="dé click izquierdo para continuar..." display="Continuar..."/>
  </hyperlinks>
  <printOptions/>
  <pageMargins left="0.75" right="0.75" top="1" bottom="1" header="0" footer="0"/>
  <pageSetup horizontalDpi="300" verticalDpi="300" orientation="portrait" paperSize="9" r:id="rId17"/>
  <drawing r:id="rId16"/>
  <legacyDrawing r:id="rId15"/>
  <oleObjects>
    <oleObject progId="Equation.3" shapeId="56175" r:id="rId1"/>
    <oleObject progId="Equation.3" shapeId="68681" r:id="rId2"/>
    <oleObject progId="Equation.3" shapeId="80127" r:id="rId3"/>
    <oleObject progId="Equation.3" shapeId="87251" r:id="rId4"/>
    <oleObject progId="Equation.3" shapeId="93824" r:id="rId5"/>
    <oleObject progId="Equation.3" shapeId="106902" r:id="rId6"/>
    <oleObject progId="Equation.3" shapeId="115442" r:id="rId7"/>
    <oleObject progId="Equation.3" shapeId="116177" r:id="rId8"/>
    <oleObject progId="Equation.3" shapeId="209051" r:id="rId9"/>
    <oleObject progId="Equation.3" shapeId="248444" r:id="rId10"/>
    <oleObject progId="Equation.3" shapeId="271082" r:id="rId11"/>
    <oleObject progId="Equation.3" shapeId="13732" r:id="rId12"/>
    <oleObject progId="Equation.3" shapeId="44636" r:id="rId13"/>
    <oleObject progId="Equation.3" shapeId="56087" r:id="rId14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2:M23"/>
  <sheetViews>
    <sheetView workbookViewId="0" topLeftCell="A1">
      <selection activeCell="F21" sqref="F21"/>
    </sheetView>
  </sheetViews>
  <sheetFormatPr defaultColWidth="11.421875" defaultRowHeight="18" customHeight="1"/>
  <cols>
    <col min="1" max="3" width="11.421875" style="7" customWidth="1"/>
    <col min="4" max="4" width="5.57421875" style="7" customWidth="1"/>
    <col min="5" max="5" width="3.8515625" style="7" customWidth="1"/>
    <col min="6" max="6" width="6.421875" style="7" customWidth="1"/>
    <col min="7" max="7" width="17.7109375" style="7" customWidth="1"/>
    <col min="8" max="8" width="11.421875" style="7" customWidth="1"/>
    <col min="9" max="14" width="11.421875" style="7" hidden="1" customWidth="1"/>
    <col min="15" max="16384" width="11.421875" style="7" customWidth="1"/>
  </cols>
  <sheetData>
    <row r="1" ht="18" customHeight="1" thickBot="1"/>
    <row r="2" spans="2:7" ht="18" customHeight="1" thickTop="1">
      <c r="B2" s="123" t="s">
        <v>39</v>
      </c>
      <c r="C2" s="124"/>
      <c r="D2" s="124"/>
      <c r="E2" s="124"/>
      <c r="F2" s="124"/>
      <c r="G2" s="125"/>
    </row>
    <row r="3" spans="2:7" ht="18" customHeight="1" thickBot="1">
      <c r="B3" s="126"/>
      <c r="C3" s="127"/>
      <c r="D3" s="127"/>
      <c r="E3" s="127"/>
      <c r="F3" s="127"/>
      <c r="G3" s="128"/>
    </row>
    <row r="4" ht="18" customHeight="1" thickBot="1" thickTop="1"/>
    <row r="5" spans="2:7" ht="18" customHeight="1" thickTop="1">
      <c r="B5" s="138" t="s">
        <v>40</v>
      </c>
      <c r="C5" s="139"/>
      <c r="D5" s="103">
        <f>'Area, Presiones, Peralte'!D36</f>
        <v>628734.1500000001</v>
      </c>
      <c r="E5" s="103"/>
      <c r="F5" s="103"/>
      <c r="G5" s="15" t="s">
        <v>26</v>
      </c>
    </row>
    <row r="6" spans="2:7" ht="18" customHeight="1">
      <c r="B6" s="85"/>
      <c r="C6" s="86"/>
      <c r="D6" s="91">
        <f>ROUND(D5/(0.9*'Datos de Entrada'!H16*0.85*'Area, Presiones, Peralte'!D44),2)</f>
        <v>7.83</v>
      </c>
      <c r="E6" s="91"/>
      <c r="F6" s="91"/>
      <c r="G6" s="93" t="s">
        <v>41</v>
      </c>
    </row>
    <row r="7" spans="2:7" ht="18" customHeight="1">
      <c r="B7" s="85"/>
      <c r="C7" s="86"/>
      <c r="D7" s="91"/>
      <c r="E7" s="91"/>
      <c r="F7" s="91"/>
      <c r="G7" s="93"/>
    </row>
    <row r="8" spans="2:7" ht="18" customHeight="1">
      <c r="B8" s="85"/>
      <c r="C8" s="86"/>
      <c r="D8" s="91">
        <f>ROUND((0.7*SQRT('Datos de Entrada'!H14)/('Datos de Entrada'!H16))*100*'Area, Presiones, Peralte'!D44,2)</f>
        <v>6.59</v>
      </c>
      <c r="E8" s="91"/>
      <c r="F8" s="140"/>
      <c r="G8" s="93" t="s">
        <v>41</v>
      </c>
    </row>
    <row r="9" spans="2:7" ht="18" customHeight="1">
      <c r="B9" s="85"/>
      <c r="C9" s="86"/>
      <c r="D9" s="140"/>
      <c r="E9" s="140"/>
      <c r="F9" s="140"/>
      <c r="G9" s="93"/>
    </row>
    <row r="10" spans="2:7" ht="18" customHeight="1" thickBot="1">
      <c r="B10" s="141" t="s">
        <v>42</v>
      </c>
      <c r="C10" s="142"/>
      <c r="D10" s="92">
        <f>ROUND(1.33*D6,2)</f>
        <v>10.41</v>
      </c>
      <c r="E10" s="92"/>
      <c r="F10" s="92"/>
      <c r="G10" s="19" t="s">
        <v>41</v>
      </c>
    </row>
    <row r="11" spans="2:13" ht="18" customHeight="1" thickBot="1" thickTop="1">
      <c r="B11" s="9"/>
      <c r="C11" s="9"/>
      <c r="D11" s="9"/>
      <c r="E11" s="9"/>
      <c r="F11" s="9"/>
      <c r="G11" s="9"/>
      <c r="K11" s="7" t="s">
        <v>46</v>
      </c>
      <c r="L11" s="7" t="s">
        <v>49</v>
      </c>
      <c r="M11" s="7" t="s">
        <v>50</v>
      </c>
    </row>
    <row r="12" spans="2:13" ht="18" customHeight="1" thickTop="1">
      <c r="B12" s="95" t="s">
        <v>43</v>
      </c>
      <c r="C12" s="96"/>
      <c r="D12" s="96"/>
      <c r="E12" s="96"/>
      <c r="F12" s="96"/>
      <c r="G12" s="97"/>
      <c r="K12" s="7">
        <v>3</v>
      </c>
      <c r="L12" s="7">
        <v>0.71</v>
      </c>
      <c r="M12" s="7">
        <v>15</v>
      </c>
    </row>
    <row r="13" spans="2:13" ht="18" customHeight="1" thickBot="1">
      <c r="B13" s="141" t="s">
        <v>44</v>
      </c>
      <c r="C13" s="142"/>
      <c r="D13" s="114">
        <v>7.83</v>
      </c>
      <c r="E13" s="114"/>
      <c r="F13" s="114"/>
      <c r="G13" s="19" t="s">
        <v>41</v>
      </c>
      <c r="K13" s="7">
        <v>4</v>
      </c>
      <c r="L13" s="7">
        <v>1.27</v>
      </c>
      <c r="M13" s="7">
        <v>20</v>
      </c>
    </row>
    <row r="14" spans="11:13" ht="18" customHeight="1" thickBot="1" thickTop="1">
      <c r="K14" s="7">
        <v>5</v>
      </c>
      <c r="L14" s="7">
        <v>1.97</v>
      </c>
      <c r="M14" s="7">
        <v>25</v>
      </c>
    </row>
    <row r="15" spans="2:13" ht="18" customHeight="1" thickTop="1">
      <c r="B15" s="95" t="s">
        <v>45</v>
      </c>
      <c r="C15" s="96"/>
      <c r="D15" s="96"/>
      <c r="E15" s="96"/>
      <c r="F15" s="96"/>
      <c r="G15" s="97"/>
      <c r="K15" s="7">
        <v>6</v>
      </c>
      <c r="L15" s="7">
        <v>2.87</v>
      </c>
      <c r="M15" s="7">
        <v>30</v>
      </c>
    </row>
    <row r="16" spans="2:13" ht="18" customHeight="1" thickBot="1">
      <c r="B16" s="141" t="s">
        <v>46</v>
      </c>
      <c r="C16" s="142"/>
      <c r="D16" s="114">
        <v>4</v>
      </c>
      <c r="E16" s="114"/>
      <c r="F16" s="114"/>
      <c r="G16" s="19"/>
      <c r="I16" s="7">
        <f>IF(D16=K12,L12,(IF(D16=K13,L13,(IF(D16=K14,L14,(IF(D16=K15,L15,(IF(D16=K16,L16,(IF(D16=K17,L17,K18)))))))))))</f>
        <v>1.27</v>
      </c>
      <c r="K16" s="7">
        <v>8</v>
      </c>
      <c r="L16" s="7">
        <v>5.05</v>
      </c>
      <c r="M16" s="7">
        <v>35</v>
      </c>
    </row>
    <row r="17" spans="4:13" ht="18" customHeight="1" thickTop="1">
      <c r="D17" s="7" t="s">
        <v>88</v>
      </c>
      <c r="K17" s="7">
        <v>10</v>
      </c>
      <c r="L17" s="7">
        <v>7.94</v>
      </c>
      <c r="M17" s="7">
        <v>40</v>
      </c>
    </row>
    <row r="18" spans="2:11" ht="18" customHeight="1">
      <c r="B18" s="86" t="s">
        <v>47</v>
      </c>
      <c r="C18" s="86"/>
      <c r="D18" s="91">
        <f>I16</f>
        <v>1.27</v>
      </c>
      <c r="E18" s="91"/>
      <c r="F18" s="91"/>
      <c r="G18" s="21" t="s">
        <v>41</v>
      </c>
      <c r="K18" s="7" t="s">
        <v>48</v>
      </c>
    </row>
    <row r="20" spans="2:3" ht="18" customHeight="1">
      <c r="B20" s="133" t="s">
        <v>51</v>
      </c>
      <c r="C20" s="133"/>
    </row>
    <row r="21" spans="2:7" ht="18" customHeight="1" thickBot="1">
      <c r="B21" s="31"/>
      <c r="C21" s="32" t="s">
        <v>46</v>
      </c>
      <c r="D21" s="33">
        <f>D16</f>
        <v>4</v>
      </c>
      <c r="E21" s="33" t="s">
        <v>52</v>
      </c>
      <c r="F21" s="33">
        <f>ROUND(100/(D13/D18),0)</f>
        <v>16</v>
      </c>
      <c r="G21" s="34" t="s">
        <v>3</v>
      </c>
    </row>
    <row r="22" ht="18" customHeight="1" thickBot="1" thickTop="1"/>
    <row r="23" spans="2:7" ht="18" customHeight="1" thickBot="1">
      <c r="B23" s="47" t="s">
        <v>93</v>
      </c>
      <c r="G23" s="48" t="s">
        <v>92</v>
      </c>
    </row>
  </sheetData>
  <sheetProtection password="9295" sheet="1" objects="1" scenarios="1"/>
  <mergeCells count="20">
    <mergeCell ref="B18:C18"/>
    <mergeCell ref="D18:F18"/>
    <mergeCell ref="B20:C20"/>
    <mergeCell ref="B13:C13"/>
    <mergeCell ref="D13:F13"/>
    <mergeCell ref="B15:G15"/>
    <mergeCell ref="B16:C16"/>
    <mergeCell ref="D16:F16"/>
    <mergeCell ref="B8:C9"/>
    <mergeCell ref="D8:F9"/>
    <mergeCell ref="G8:G9"/>
    <mergeCell ref="B12:G12"/>
    <mergeCell ref="B10:C10"/>
    <mergeCell ref="D10:F10"/>
    <mergeCell ref="B2:G3"/>
    <mergeCell ref="B5:C5"/>
    <mergeCell ref="D5:F5"/>
    <mergeCell ref="B6:C7"/>
    <mergeCell ref="D6:F7"/>
    <mergeCell ref="G6:G7"/>
  </mergeCells>
  <hyperlinks>
    <hyperlink ref="B23" location="'Revision del peralte'!A1" tooltip="dé clich izquierdo para regresar..." display="Atrás..."/>
    <hyperlink ref="G23" location="Resumen!A1" tooltip="dé click izquierdo para continuar..." display="Continuar..."/>
  </hyperlinks>
  <printOptions/>
  <pageMargins left="0.81" right="0.75" top="2.22" bottom="1" header="0" footer="0"/>
  <pageSetup orientation="portrait" paperSize="9" r:id="rId4"/>
  <legacyDrawing r:id="rId3"/>
  <oleObjects>
    <oleObject progId="Equation.3" shapeId="169688" r:id="rId1"/>
    <oleObject progId="Equation.3" shapeId="179799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H16" sqref="H16:I17"/>
    </sheetView>
  </sheetViews>
  <sheetFormatPr defaultColWidth="11.421875" defaultRowHeight="15" customHeight="1"/>
  <cols>
    <col min="1" max="5" width="11.421875" style="24" customWidth="1"/>
    <col min="6" max="6" width="5.28125" style="24" customWidth="1"/>
    <col min="7" max="7" width="10.140625" style="24" customWidth="1"/>
    <col min="8" max="8" width="3.140625" style="24" customWidth="1"/>
    <col min="9" max="9" width="3.421875" style="24" customWidth="1"/>
    <col min="10" max="10" width="3.8515625" style="24" customWidth="1"/>
    <col min="11" max="11" width="10.8515625" style="24" customWidth="1"/>
    <col min="12" max="13" width="2.140625" style="24" customWidth="1"/>
    <col min="14" max="14" width="12.8515625" style="24" customWidth="1"/>
    <col min="15" max="15" width="6.140625" style="24" customWidth="1"/>
    <col min="16" max="20" width="0" style="24" hidden="1" customWidth="1"/>
    <col min="21" max="16384" width="11.421875" style="24" customWidth="1"/>
  </cols>
  <sheetData>
    <row r="1" spans="1:14" ht="15" customHeight="1">
      <c r="A1" s="79" t="s">
        <v>53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1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1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5" spans="7:14" ht="15" customHeight="1">
      <c r="G5" s="144" t="s">
        <v>54</v>
      </c>
      <c r="H5" s="144"/>
      <c r="I5" s="143">
        <f>'Datos de Entrada'!H14</f>
        <v>250</v>
      </c>
      <c r="J5" s="143"/>
      <c r="K5" s="26" t="s">
        <v>85</v>
      </c>
      <c r="L5" s="26"/>
      <c r="M5" s="145">
        <f>'Datos de Entrada'!H15</f>
        <v>1</v>
      </c>
      <c r="N5" s="145"/>
    </row>
    <row r="6" spans="7:15" ht="15" customHeight="1">
      <c r="G6" s="145" t="s">
        <v>55</v>
      </c>
      <c r="H6" s="145"/>
      <c r="I6" s="145"/>
      <c r="J6" s="145"/>
      <c r="K6" s="145"/>
      <c r="L6" s="145"/>
      <c r="M6" s="145"/>
      <c r="N6" s="145"/>
      <c r="O6" s="145"/>
    </row>
    <row r="8" spans="7:11" ht="15" customHeight="1">
      <c r="G8" s="25" t="s">
        <v>46</v>
      </c>
      <c r="H8" s="24">
        <f>'Diseño por flexión'!D21</f>
        <v>4</v>
      </c>
      <c r="I8" s="24" t="s">
        <v>52</v>
      </c>
      <c r="J8" s="24">
        <f>'Diseño por flexión'!F21</f>
        <v>16</v>
      </c>
      <c r="K8" s="26" t="s">
        <v>3</v>
      </c>
    </row>
    <row r="9" ht="15" customHeight="1" thickBot="1"/>
    <row r="10" spans="8:13" ht="15" customHeight="1" thickTop="1">
      <c r="H10" s="146" t="s">
        <v>58</v>
      </c>
      <c r="I10" s="147"/>
      <c r="J10" s="27" t="s">
        <v>59</v>
      </c>
      <c r="K10" s="27">
        <f>'Datos de Entrada'!H13</f>
        <v>1.2</v>
      </c>
      <c r="L10" s="159" t="s">
        <v>4</v>
      </c>
      <c r="M10" s="160"/>
    </row>
    <row r="11" spans="8:13" ht="15" customHeight="1">
      <c r="H11" s="148" t="s">
        <v>60</v>
      </c>
      <c r="I11" s="149"/>
      <c r="J11" s="28" t="s">
        <v>59</v>
      </c>
      <c r="K11" s="28">
        <f>'Area, Presiones, Peralte'!D45</f>
        <v>30</v>
      </c>
      <c r="L11" s="161" t="s">
        <v>3</v>
      </c>
      <c r="M11" s="162"/>
    </row>
    <row r="12" spans="8:13" ht="15" customHeight="1">
      <c r="H12" s="152" t="s">
        <v>50</v>
      </c>
      <c r="I12" s="153"/>
      <c r="J12" s="28" t="s">
        <v>59</v>
      </c>
      <c r="K12" s="7">
        <f>P20</f>
        <v>20</v>
      </c>
      <c r="L12" s="161" t="s">
        <v>3</v>
      </c>
      <c r="M12" s="162"/>
    </row>
    <row r="13" spans="8:13" ht="15" customHeight="1">
      <c r="H13" s="148" t="s">
        <v>61</v>
      </c>
      <c r="I13" s="149"/>
      <c r="J13" s="28" t="s">
        <v>59</v>
      </c>
      <c r="K13" s="28">
        <f>'Datos de Entrada'!H11</f>
        <v>45</v>
      </c>
      <c r="L13" s="161" t="s">
        <v>3</v>
      </c>
      <c r="M13" s="162"/>
    </row>
    <row r="14" spans="8:13" ht="15" customHeight="1">
      <c r="H14" s="154" t="s">
        <v>62</v>
      </c>
      <c r="I14" s="155"/>
      <c r="J14" s="28" t="s">
        <v>59</v>
      </c>
      <c r="K14" s="28">
        <f>'Datos de Entrada'!H12</f>
        <v>45</v>
      </c>
      <c r="L14" s="161" t="s">
        <v>3</v>
      </c>
      <c r="M14" s="162"/>
    </row>
    <row r="15" spans="8:20" ht="15" customHeight="1">
      <c r="H15" s="148" t="s">
        <v>63</v>
      </c>
      <c r="I15" s="149"/>
      <c r="J15" s="28" t="s">
        <v>59</v>
      </c>
      <c r="K15" s="28">
        <f>'Area, Presiones, Peralte'!D19</f>
        <v>2.45</v>
      </c>
      <c r="L15" s="161" t="s">
        <v>4</v>
      </c>
      <c r="M15" s="162"/>
      <c r="P15" s="7"/>
      <c r="Q15" s="7"/>
      <c r="R15" s="7" t="s">
        <v>46</v>
      </c>
      <c r="S15" s="7" t="s">
        <v>49</v>
      </c>
      <c r="T15" s="7" t="s">
        <v>50</v>
      </c>
    </row>
    <row r="16" spans="8:20" ht="15" customHeight="1" thickBot="1">
      <c r="H16" s="150" t="s">
        <v>8</v>
      </c>
      <c r="I16" s="151"/>
      <c r="J16" s="29" t="s">
        <v>59</v>
      </c>
      <c r="K16" s="29">
        <f>'Area, Presiones, Peralte'!D18</f>
        <v>2.45</v>
      </c>
      <c r="L16" s="163" t="s">
        <v>4</v>
      </c>
      <c r="M16" s="164"/>
      <c r="P16" s="7"/>
      <c r="Q16" s="7"/>
      <c r="R16" s="7">
        <v>3</v>
      </c>
      <c r="S16" s="7">
        <v>0.71</v>
      </c>
      <c r="T16" s="7">
        <v>15</v>
      </c>
    </row>
    <row r="17" spans="16:20" ht="15" customHeight="1" thickTop="1">
      <c r="P17" s="7"/>
      <c r="Q17" s="7"/>
      <c r="R17" s="7">
        <v>4</v>
      </c>
      <c r="S17" s="7">
        <v>1.27</v>
      </c>
      <c r="T17" s="7">
        <v>20</v>
      </c>
    </row>
    <row r="18" spans="16:20" ht="15" customHeight="1">
      <c r="P18" s="7"/>
      <c r="Q18" s="7"/>
      <c r="R18" s="7">
        <v>5</v>
      </c>
      <c r="S18" s="7">
        <v>1.97</v>
      </c>
      <c r="T18" s="7">
        <v>25</v>
      </c>
    </row>
    <row r="19" spans="16:20" ht="15" customHeight="1">
      <c r="P19" s="7"/>
      <c r="Q19" s="7"/>
      <c r="R19" s="7">
        <v>6</v>
      </c>
      <c r="S19" s="7">
        <v>2.87</v>
      </c>
      <c r="T19" s="7">
        <v>30</v>
      </c>
    </row>
    <row r="20" spans="16:20" ht="15" customHeight="1">
      <c r="P20" s="7">
        <f>IF(H24=R16,T16,(IF(H24=R17,T17,(IF(H24=R18,T18,(IF(H24=R19,T19,(IF(H24=R20,T20,(IF(H24=R21,T21,R22)))))))))))</f>
        <v>20</v>
      </c>
      <c r="Q20" s="7"/>
      <c r="R20" s="7">
        <v>8</v>
      </c>
      <c r="S20" s="7">
        <v>5.05</v>
      </c>
      <c r="T20" s="7">
        <v>35</v>
      </c>
    </row>
    <row r="21" spans="16:20" ht="15" customHeight="1">
      <c r="P21" s="7"/>
      <c r="Q21" s="7"/>
      <c r="R21" s="7">
        <v>10</v>
      </c>
      <c r="S21" s="7">
        <v>7.94</v>
      </c>
      <c r="T21" s="7">
        <v>40</v>
      </c>
    </row>
    <row r="22" spans="16:20" ht="15" customHeight="1">
      <c r="P22" s="7"/>
      <c r="Q22" s="7"/>
      <c r="R22" s="7" t="s">
        <v>48</v>
      </c>
      <c r="S22" s="7"/>
      <c r="T22" s="7"/>
    </row>
    <row r="24" spans="7:14" ht="15" customHeight="1">
      <c r="G24" s="25" t="str">
        <f>G8</f>
        <v>#</v>
      </c>
      <c r="H24" s="24">
        <f>H8</f>
        <v>4</v>
      </c>
      <c r="I24" s="24" t="str">
        <f>I8</f>
        <v>@</v>
      </c>
      <c r="J24" s="24">
        <f>J8</f>
        <v>16</v>
      </c>
      <c r="K24" s="26" t="s">
        <v>56</v>
      </c>
      <c r="L24" s="145" t="s">
        <v>57</v>
      </c>
      <c r="M24" s="145"/>
      <c r="N24" s="145"/>
    </row>
    <row r="25" ht="15" customHeight="1" thickBot="1"/>
    <row r="26" spans="7:13" ht="15" customHeight="1" thickBot="1">
      <c r="G26" s="47" t="s">
        <v>93</v>
      </c>
      <c r="H26" s="7"/>
      <c r="I26" s="7"/>
      <c r="J26" s="156" t="s">
        <v>94</v>
      </c>
      <c r="K26" s="157"/>
      <c r="L26" s="157"/>
      <c r="M26" s="158"/>
    </row>
  </sheetData>
  <sheetProtection password="9295" sheet="1" objects="1" scenarios="1"/>
  <mergeCells count="21">
    <mergeCell ref="J26:M26"/>
    <mergeCell ref="L10:M10"/>
    <mergeCell ref="L11:M11"/>
    <mergeCell ref="L12:M12"/>
    <mergeCell ref="L13:M13"/>
    <mergeCell ref="L24:N24"/>
    <mergeCell ref="L14:M14"/>
    <mergeCell ref="L15:M15"/>
    <mergeCell ref="L16:M16"/>
    <mergeCell ref="H10:I10"/>
    <mergeCell ref="H11:I11"/>
    <mergeCell ref="H15:I15"/>
    <mergeCell ref="H16:I16"/>
    <mergeCell ref="H12:I12"/>
    <mergeCell ref="H13:I13"/>
    <mergeCell ref="H14:I14"/>
    <mergeCell ref="A1:N3"/>
    <mergeCell ref="I5:J5"/>
    <mergeCell ref="G5:H5"/>
    <mergeCell ref="G6:O6"/>
    <mergeCell ref="M5:N5"/>
  </mergeCells>
  <hyperlinks>
    <hyperlink ref="G26" location="'Diseño por flexión'!A1" tooltip="dé clich izquierdo para regresar..." display="Atrás..."/>
    <hyperlink ref="J26" location="'Datos de Entrada'!A1" tooltip="dé click izquierdo para continuar..." display="Calcular otra zapata..."/>
  </hyperlinks>
  <printOptions/>
  <pageMargins left="1.3" right="0.75" top="0.93" bottom="1" header="0" footer="0"/>
  <pageSetup orientation="landscape" paperSize="9" r:id="rId4"/>
  <drawing r:id="rId3"/>
  <legacyDrawing r:id="rId2"/>
  <oleObjects>
    <oleObject progId="Drawing" shapeId="41061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@@LUGO@@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Gonzalo Lugo Cruz</dc:creator>
  <cp:keywords/>
  <dc:description/>
  <cp:lastModifiedBy>Sergio Cortes</cp:lastModifiedBy>
  <cp:lastPrinted>2003-09-02T00:50:42Z</cp:lastPrinted>
  <dcterms:created xsi:type="dcterms:W3CDTF">2003-08-27T15:37:00Z</dcterms:created>
  <dcterms:modified xsi:type="dcterms:W3CDTF">2004-03-18T20:35:17Z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