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65236" windowWidth="13230" windowHeight="10140" activeTab="1"/>
  </bookViews>
  <sheets>
    <sheet name="DSP" sheetId="1" r:id="rId1"/>
    <sheet name="DISEÑO NORMAL" sheetId="2" r:id="rId2"/>
    <sheet name="tablas " sheetId="3" state="hidden" r:id="rId3"/>
  </sheets>
  <externalReferences>
    <externalReference r:id="rId6"/>
  </externalReferences>
  <definedNames>
    <definedName name="_xlnm.Print_Area" localSheetId="1">'DISEÑO NORMAL'!$A$1:$L$134</definedName>
    <definedName name="_xlnm.Print_Area" localSheetId="0">'DSP'!$A$1:$L$284</definedName>
    <definedName name="CEMENTOS">'tablas '!$C$334:$G$343</definedName>
    <definedName name="HORMIGON">'tablas '!$M$135:$N$136</definedName>
    <definedName name="MATERIALES">'DISEÑO NORMAL'!#REF!</definedName>
    <definedName name="POLIPROPILENO">'[1]tablas'!$H$779:$J$881</definedName>
    <definedName name="tabla14">'tablas '!$A$109:$J$112</definedName>
    <definedName name="tabla14b">'tablas '!$A$115:$J$118</definedName>
    <definedName name="tabla1820">'tablas '!$A$129:$H$136</definedName>
    <definedName name="tabla20">'tablas '!$D$129:$H$136</definedName>
    <definedName name="tabla3">'tablas '!$A$30:$D$44</definedName>
    <definedName name="tabla30">'tablas '!$B$152:$D$158</definedName>
    <definedName name="tabla40">'tablas '!$C$193:$I$200</definedName>
    <definedName name="tabla41">'tablas '!$L$199:$O$208</definedName>
    <definedName name="tabla50">'tablas '!$A$248:$J$255</definedName>
    <definedName name="tabla60">'tablas '!$A$311:$D$318</definedName>
    <definedName name="tabla62">'tablas '!$E$314:$F$318</definedName>
    <definedName name="TANDAS">'tablas '!$N$260:$P$279</definedName>
    <definedName name="TODO">'DISEÑO NORMAL'!#REF!</definedName>
    <definedName name="TRABAJABILIDAD">'tablas '!$I$94:$O$96</definedName>
    <definedName name="Z_FDF629F4_4BC4_4C2E_8B1E_2ED6AC2A58BF_.wvu.PrintArea" localSheetId="1" hidden="1">'DISEÑO NORMAL'!$A$1:$K$96</definedName>
    <definedName name="Z_FDF629F4_4BC4_4C2E_8B1E_2ED6AC2A58BF_.wvu.PrintArea" localSheetId="0" hidden="1">'DSP'!$A$1:$L$284</definedName>
  </definedNames>
  <calcPr fullCalcOnLoad="1"/>
</workbook>
</file>

<file path=xl/comments2.xml><?xml version="1.0" encoding="utf-8"?>
<comments xmlns="http://schemas.openxmlformats.org/spreadsheetml/2006/main">
  <authors>
    <author>Jony Gutierrez Abanto</author>
    <author>JONY</author>
  </authors>
  <commentList>
    <comment ref="D97" authorId="0">
      <text>
        <r>
          <rPr>
            <b/>
            <sz val="8"/>
            <rFont val="Tahoma"/>
            <family val="2"/>
          </rPr>
          <t>Jony Gutierrez Abanto:</t>
        </r>
        <r>
          <rPr>
            <sz val="8"/>
            <rFont val="Tahoma"/>
            <family val="2"/>
          </rPr>
          <t xml:space="preserve">
Dosificación corregida por humedad para concreto premezclado</t>
        </r>
      </text>
    </comment>
    <comment ref="E21" authorId="0">
      <text>
        <r>
          <rPr>
            <b/>
            <sz val="8"/>
            <rFont val="Tahoma"/>
            <family val="2"/>
          </rPr>
          <t>Jony Gutierrez Abanto:</t>
        </r>
        <r>
          <rPr>
            <sz val="8"/>
            <rFont val="Tahoma"/>
            <family val="2"/>
          </rPr>
          <t xml:space="preserve">
Selecciona valor de TMN del agregado grueso en el punto N 4.</t>
        </r>
      </text>
    </comment>
    <comment ref="F8" authorId="1">
      <text>
        <r>
          <rPr>
            <b/>
            <sz val="8"/>
            <rFont val="Tahoma"/>
            <family val="2"/>
          </rPr>
          <t xml:space="preserve">Jony Gutierrez Abanto:
</t>
        </r>
        <r>
          <rPr>
            <sz val="8"/>
            <rFont val="Tahoma"/>
            <family val="2"/>
          </rPr>
          <t>Elección de la Resistencia a la Compresión. Antes del sieguiente paso elija la Desviación estándar en la hoja "DSP"</t>
        </r>
      </text>
    </comment>
    <comment ref="I83" authorId="1">
      <text>
        <r>
          <rPr>
            <sz val="9"/>
            <rFont val="Tahoma"/>
            <family val="2"/>
          </rPr>
          <t>Para Euco MR 370, dosis mayor a 0.6% como superplastificante, de no trabajarse con aditivo cambiar a 0</t>
        </r>
      </text>
    </comment>
    <comment ref="E107" authorId="1">
      <text>
        <r>
          <rPr>
            <b/>
            <sz val="8"/>
            <rFont val="Tahoma"/>
            <family val="2"/>
          </rPr>
          <t>Jony Gutiérrez Abanto:</t>
        </r>
        <r>
          <rPr>
            <sz val="8"/>
            <rFont val="Tahoma"/>
            <family val="2"/>
          </rPr>
          <t xml:space="preserve">
Tanda de prueba en M3</t>
        </r>
      </text>
    </comment>
  </commentList>
</comments>
</file>

<file path=xl/comments3.xml><?xml version="1.0" encoding="utf-8"?>
<comments xmlns="http://schemas.openxmlformats.org/spreadsheetml/2006/main">
  <authors>
    <author>Jony Gutierrez Abanto</author>
  </authors>
  <commentList>
    <comment ref="G3" authorId="0">
      <text>
        <r>
          <rPr>
            <b/>
            <sz val="12"/>
            <rFont val="Tahoma"/>
            <family val="2"/>
          </rPr>
          <t xml:space="preserve">
NO MODIFICAR LOS DATOS DE ESTA HOJA</t>
        </r>
      </text>
    </comment>
    <comment ref="O271" authorId="0">
      <text>
        <r>
          <rPr>
            <b/>
            <sz val="8"/>
            <rFont val="Tahoma"/>
            <family val="2"/>
          </rPr>
          <t>Para 2 probetas de 6*12, Peso unitario y Slump</t>
        </r>
      </text>
    </comment>
    <comment ref="O272" authorId="0">
      <text>
        <r>
          <rPr>
            <b/>
            <sz val="8"/>
            <rFont val="Tahoma"/>
            <family val="2"/>
          </rPr>
          <t>Para 2 probetas de 6*12, 2 viguetas, peso unitario y slump</t>
        </r>
      </text>
    </comment>
    <comment ref="O273" authorId="0">
      <text>
        <r>
          <rPr>
            <b/>
            <sz val="8"/>
            <rFont val="Tahoma"/>
            <family val="2"/>
          </rPr>
          <t>Para 2 viguetas y 1 slump, peso unitario y 2 probetas</t>
        </r>
      </text>
    </comment>
    <comment ref="O274" authorId="0">
      <text>
        <r>
          <rPr>
            <b/>
            <sz val="8"/>
            <rFont val="Tahoma"/>
            <family val="2"/>
          </rPr>
          <t xml:space="preserve">8 probetas
4 viguetas
1 slump
1 Peso u y aire
</t>
        </r>
      </text>
    </comment>
  </commentList>
</comments>
</file>

<file path=xl/sharedStrings.xml><?xml version="1.0" encoding="utf-8"?>
<sst xmlns="http://schemas.openxmlformats.org/spreadsheetml/2006/main" count="1224" uniqueCount="736">
  <si>
    <t>CALIDAD DEL CONCRETO NORMA E060</t>
  </si>
  <si>
    <t>DISEÑO DE MEZCLAS</t>
  </si>
  <si>
    <t xml:space="preserve"> </t>
  </si>
  <si>
    <t>ppm</t>
  </si>
  <si>
    <t>k/cm2</t>
  </si>
  <si>
    <t>a</t>
  </si>
  <si>
    <t xml:space="preserve">Representar materiales, procedimientos de control de calidad y condiciones similares a </t>
  </si>
  <si>
    <t>aquellos que se espera en la obra que se va a iniciar.</t>
  </si>
  <si>
    <t>b</t>
  </si>
  <si>
    <t xml:space="preserve">Reperesentar a concretos preparados para alcanzar una resistencia  de diseño f´c que este </t>
  </si>
  <si>
    <t>dentro del rango +/- 70 k/cm2 de la especificada para el trabajo a iniciar</t>
  </si>
  <si>
    <t>c</t>
  </si>
  <si>
    <t>Consistir de por lo menos 30 ensayos consecutivos, o dos grupos de ensayos consecutivos</t>
  </si>
  <si>
    <t xml:space="preserve">que totalicen por lo menos 30 ensayos. Los ensayos se efecturan según lo inidicado en la </t>
  </si>
  <si>
    <t>seccion correspondiente a ENSAYOS DE LOS MATERIALES:</t>
  </si>
  <si>
    <t>d</t>
  </si>
  <si>
    <t>Representar un registro de ensayos consecutivos del conjunto que comprenda un periodo</t>
  </si>
  <si>
    <t>no menos de 45 dias calendarios.</t>
  </si>
  <si>
    <t>TABLA 01</t>
  </si>
  <si>
    <t>MUESTRAS</t>
  </si>
  <si>
    <t>FACTOR DE CORRECCION</t>
  </si>
  <si>
    <t xml:space="preserve">menos de 15 </t>
  </si>
  <si>
    <t>usar tabla  02</t>
  </si>
  <si>
    <t>VALORES DE " t "</t>
  </si>
  <si>
    <t>#     DE</t>
  </si>
  <si>
    <t>POSIBILIDAD DE CAER DEBAJO</t>
  </si>
  <si>
    <t>DEL LIMITE INFERIOR</t>
  </si>
  <si>
    <t>MENOS  1</t>
  </si>
  <si>
    <t>1  en  5</t>
  </si>
  <si>
    <t>1  en  10</t>
  </si>
  <si>
    <t>1  en  20</t>
  </si>
  <si>
    <t>f´c rp =&gt;</t>
  </si>
  <si>
    <t>+30</t>
  </si>
  <si>
    <t xml:space="preserve">f´ c  </t>
  </si>
  <si>
    <t xml:space="preserve"> (K/CM2)</t>
  </si>
  <si>
    <t>f´ cr  (K/CM2)</t>
  </si>
  <si>
    <t xml:space="preserve">f´c </t>
  </si>
  <si>
    <t>MATERIALES</t>
  </si>
  <si>
    <t>Tipo de cementos Peruanos</t>
  </si>
  <si>
    <t>PESO</t>
  </si>
  <si>
    <t>SUPERFICIE</t>
  </si>
  <si>
    <t>MARCA</t>
  </si>
  <si>
    <t>TIPO</t>
  </si>
  <si>
    <t>ESPECIFICO</t>
  </si>
  <si>
    <t>ESPECIFICA</t>
  </si>
  <si>
    <t>(Cm3/gr)</t>
  </si>
  <si>
    <t>I</t>
  </si>
  <si>
    <t>I P</t>
  </si>
  <si>
    <t>I I</t>
  </si>
  <si>
    <t>V</t>
  </si>
  <si>
    <t>I P M</t>
  </si>
  <si>
    <t>No</t>
  </si>
  <si>
    <t xml:space="preserve">DESCRIPCION </t>
  </si>
  <si>
    <t>CEMENTO</t>
  </si>
  <si>
    <t>Agregado</t>
  </si>
  <si>
    <t>Grueso</t>
  </si>
  <si>
    <t>Fino</t>
  </si>
  <si>
    <t>MODULO DE FINEZA</t>
  </si>
  <si>
    <t xml:space="preserve">PARA UNA MUESTRA DE ENSAYO EN </t>
  </si>
  <si>
    <t xml:space="preserve">DIEZ POR DEBAJO DEL PORCENTAJE DE </t>
  </si>
  <si>
    <t xml:space="preserve">CIEN POR DEBAJO DEL PORCENTAJE DE </t>
  </si>
  <si>
    <t>LA RESISTENCIA DE DISEÑO ESPECIFICADO</t>
  </si>
  <si>
    <t>…</t>
  </si>
  <si>
    <t>TAMAÑO</t>
  </si>
  <si>
    <t>3/8"</t>
  </si>
  <si>
    <t>1/2"</t>
  </si>
  <si>
    <t>3/4"</t>
  </si>
  <si>
    <t>1"</t>
  </si>
  <si>
    <t>1 1/2"</t>
  </si>
  <si>
    <t>2"</t>
  </si>
  <si>
    <t>3"</t>
  </si>
  <si>
    <t xml:space="preserve">AGREGADO </t>
  </si>
  <si>
    <t>DE CONCRETO PARA DIFERENTES MODUILOS DE FINEZA DEL AGREGADO FINO</t>
  </si>
  <si>
    <t>GRUESO</t>
  </si>
  <si>
    <t>CAPITULO II</t>
  </si>
  <si>
    <t>METODO 1</t>
  </si>
  <si>
    <t>SI</t>
  </si>
  <si>
    <t>Cuando se posee un registro de 30 ensayos consecutivos la desviacion estandar se calcula</t>
  </si>
  <si>
    <t>con la siguiente formula</t>
  </si>
  <si>
    <t>Donde:</t>
  </si>
  <si>
    <t>Cuando se posee dos grupos de ensayos consecutivos que totalicen por lo menos un registro</t>
  </si>
  <si>
    <t>de 30 ensayos, la desviacion estandar a ser usada se calcula con la siguiente formula</t>
  </si>
  <si>
    <t>METODO 2</t>
  </si>
  <si>
    <t>RESISTENCIA PROMEDIO REQUERIDA</t>
  </si>
  <si>
    <t>La resistencia Promedio requerida sera el mayor de los valores obtenidos de la formulas</t>
  </si>
  <si>
    <t xml:space="preserve">siguientes : </t>
  </si>
  <si>
    <t>ECUACION 1</t>
  </si>
  <si>
    <t>METODO 3</t>
  </si>
  <si>
    <t>Cuando se desconoce  el valor de la desviacion estandar, se utiliza la siguiente tabla</t>
  </si>
  <si>
    <t>f ´ c   (k/cm2)</t>
  </si>
  <si>
    <t>f ´ c r    (k/cm2)</t>
  </si>
  <si>
    <t>Menos de 210</t>
  </si>
  <si>
    <t xml:space="preserve">f ´ c  + </t>
  </si>
  <si>
    <t>210 a 350</t>
  </si>
  <si>
    <t>sobre 350</t>
  </si>
  <si>
    <t>Muestra</t>
  </si>
  <si>
    <t>f´c (X)</t>
  </si>
  <si>
    <t xml:space="preserve"> X  -   X</t>
  </si>
  <si>
    <r>
      <t>(Xn - X)</t>
    </r>
    <r>
      <rPr>
        <sz val="12"/>
        <rFont val="Arial"/>
        <family val="2"/>
      </rPr>
      <t>²</t>
    </r>
  </si>
  <si>
    <t># ensayos</t>
  </si>
  <si>
    <t>n1</t>
  </si>
  <si>
    <t>n2</t>
  </si>
  <si>
    <t>Sumatoria ensayos</t>
  </si>
  <si>
    <t>∑X</t>
  </si>
  <si>
    <t>Promedio resultados</t>
  </si>
  <si>
    <t xml:space="preserve">X = ∑X / n </t>
  </si>
  <si>
    <r>
      <t>∑(Xn - X)</t>
    </r>
    <r>
      <rPr>
        <sz val="12"/>
        <rFont val="Arial"/>
        <family val="2"/>
      </rPr>
      <t>²</t>
    </r>
  </si>
  <si>
    <r>
      <t>S1</t>
    </r>
    <r>
      <rPr>
        <sz val="12"/>
        <rFont val="Arial"/>
        <family val="2"/>
      </rPr>
      <t>²</t>
    </r>
  </si>
  <si>
    <r>
      <t>S</t>
    </r>
    <r>
      <rPr>
        <sz val="7"/>
        <rFont val="Arial"/>
        <family val="2"/>
      </rPr>
      <t>2</t>
    </r>
    <r>
      <rPr>
        <sz val="12"/>
        <rFont val="Arial"/>
        <family val="2"/>
      </rPr>
      <t>²</t>
    </r>
  </si>
  <si>
    <t>Variacion Ponderada</t>
  </si>
  <si>
    <t xml:space="preserve">f´ c r =&gt; </t>
  </si>
  <si>
    <t>V  =&gt;</t>
  </si>
  <si>
    <t>(COMITÉ EUROPEO DEL CONCRETO)</t>
  </si>
  <si>
    <t>SLUMP</t>
  </si>
  <si>
    <t>Factor de correccion</t>
  </si>
  <si>
    <t>resistencia promedio</t>
  </si>
  <si>
    <t>tabla No 2</t>
  </si>
  <si>
    <t>coeficiente de variacion</t>
  </si>
  <si>
    <t>Tabla NO 3</t>
  </si>
  <si>
    <t>Resistencia a la Compreison Promedio</t>
  </si>
  <si>
    <t>tabla No 4</t>
  </si>
  <si>
    <t>Porcentaje  de la resistencia especificada</t>
  </si>
  <si>
    <t>tabla No 5</t>
  </si>
  <si>
    <t>TABLAS DE DISEÑO DE MEZCLAS</t>
  </si>
  <si>
    <t>Clasificacion para agregados a la Norma ASTM   C  33</t>
  </si>
  <si>
    <t>tabla No 10</t>
  </si>
  <si>
    <t>tamano</t>
  </si>
  <si>
    <t>porcentajes que pasan por las siguientes mallas</t>
  </si>
  <si>
    <t>maximo</t>
  </si>
  <si>
    <t>nominal</t>
  </si>
  <si>
    <t>1  1/2</t>
  </si>
  <si>
    <t>3/4</t>
  </si>
  <si>
    <t>1/2</t>
  </si>
  <si>
    <t>3/8</t>
  </si>
  <si>
    <t>No 4</t>
  </si>
  <si>
    <t>No 8</t>
  </si>
  <si>
    <t>95 - 100</t>
  </si>
  <si>
    <t>---</t>
  </si>
  <si>
    <t>35 - 70</t>
  </si>
  <si>
    <t>10 - 30</t>
  </si>
  <si>
    <t>1 1/2</t>
  </si>
  <si>
    <t>25 - 60</t>
  </si>
  <si>
    <t>90 - 100</t>
  </si>
  <si>
    <t>20 - 55</t>
  </si>
  <si>
    <t xml:space="preserve">40 - 70 </t>
  </si>
  <si>
    <t>85 - 100</t>
  </si>
  <si>
    <t xml:space="preserve">Asentamiento para diferentes estructuras </t>
  </si>
  <si>
    <t>Tablas No 12</t>
  </si>
  <si>
    <t>Asentamiento</t>
  </si>
  <si>
    <t>Tipo de construccion</t>
  </si>
  <si>
    <t>Maximo</t>
  </si>
  <si>
    <t>Minimo</t>
  </si>
  <si>
    <t>Zapatas y muros de cimentacion armados</t>
  </si>
  <si>
    <t>Cimentaciones simples, cajones y subestructuras de muros</t>
  </si>
  <si>
    <t>Vigas y muros armados</t>
  </si>
  <si>
    <t>Columnas de edificios</t>
  </si>
  <si>
    <t>Losas y pavimentos</t>
  </si>
  <si>
    <t>Concretos ciclopeos</t>
  </si>
  <si>
    <t xml:space="preserve">VOLUMEN UNITARIO DE AGUA </t>
  </si>
  <si>
    <t>Tabla No 14</t>
  </si>
  <si>
    <t>tabla No 16</t>
  </si>
  <si>
    <t>agua, en l/m3, para los tamaños max. Nominales de agregado grueso y</t>
  </si>
  <si>
    <t xml:space="preserve">Volumen unitario de agua, expresado en l/m3, para los </t>
  </si>
  <si>
    <t>consistencia indicados</t>
  </si>
  <si>
    <t>asentamientos y perfiles de agregados grueso indicados</t>
  </si>
  <si>
    <t>1</t>
  </si>
  <si>
    <t xml:space="preserve">  1  1/2</t>
  </si>
  <si>
    <t>2</t>
  </si>
  <si>
    <t>3</t>
  </si>
  <si>
    <t>6"</t>
  </si>
  <si>
    <t>1"  a    2"</t>
  </si>
  <si>
    <t>3"  a  4"</t>
  </si>
  <si>
    <t>6"  a  7"</t>
  </si>
  <si>
    <t>concretos sin aire incorporado</t>
  </si>
  <si>
    <t>agregado</t>
  </si>
  <si>
    <t>Agragado</t>
  </si>
  <si>
    <t>1" a 2"</t>
  </si>
  <si>
    <t>grueso</t>
  </si>
  <si>
    <t>redondeado</t>
  </si>
  <si>
    <t>Angular</t>
  </si>
  <si>
    <t>3" a 4"</t>
  </si>
  <si>
    <t>Aire atrapado</t>
  </si>
  <si>
    <t>concretos con aire incorporado</t>
  </si>
  <si>
    <t>Aire total</t>
  </si>
  <si>
    <t>CONTENIDO DE AIRE ATRAPADO Y INCORPORADO TOTAL</t>
  </si>
  <si>
    <t>Contenido de aire atrapado</t>
  </si>
  <si>
    <t>Contenido de aire incorporado y Total</t>
  </si>
  <si>
    <t>Tabla No 18</t>
  </si>
  <si>
    <t>Tabla No 20</t>
  </si>
  <si>
    <t>aire</t>
  </si>
  <si>
    <t>Contenido de aire total en %</t>
  </si>
  <si>
    <t>Exposicion</t>
  </si>
  <si>
    <t>atrapado</t>
  </si>
  <si>
    <t>Moderada</t>
  </si>
  <si>
    <t>Severa</t>
  </si>
  <si>
    <t>RELACION AGUA - CEMENTO POR RESISTENCIA</t>
  </si>
  <si>
    <t>FACTORES:</t>
  </si>
  <si>
    <t>HIDRATACION NORMAL PARA CEMENTO PORTLAND NORMAL TIPO I</t>
  </si>
  <si>
    <t>INCORPORACION DE PUZOLANA</t>
  </si>
  <si>
    <t>Tabla No 30</t>
  </si>
  <si>
    <t>Tabla No 32</t>
  </si>
  <si>
    <t>tabla No 34</t>
  </si>
  <si>
    <t>tabla No 36</t>
  </si>
  <si>
    <t xml:space="preserve">Relacion Agua-Cemento </t>
  </si>
  <si>
    <t>Relacioin agua - cemento para diversos</t>
  </si>
  <si>
    <t>Concretos  sin</t>
  </si>
  <si>
    <t xml:space="preserve">Concretos con </t>
  </si>
  <si>
    <t>diseño en peso</t>
  </si>
  <si>
    <t>en peso para agregado grueso del</t>
  </si>
  <si>
    <t>contenidos de aire total</t>
  </si>
  <si>
    <t>aire incorporado</t>
  </si>
  <si>
    <t>f ´cr</t>
  </si>
  <si>
    <t>concretos</t>
  </si>
  <si>
    <t>tamaño maximo nominal indicado</t>
  </si>
  <si>
    <t>Relacion</t>
  </si>
  <si>
    <t xml:space="preserve">sin </t>
  </si>
  <si>
    <t xml:space="preserve">con </t>
  </si>
  <si>
    <t>(28 dias)</t>
  </si>
  <si>
    <t xml:space="preserve">aire </t>
  </si>
  <si>
    <t>1/4"</t>
  </si>
  <si>
    <t>1  1/2"</t>
  </si>
  <si>
    <t>agua cemnto</t>
  </si>
  <si>
    <t>f ´c</t>
  </si>
  <si>
    <t>Cemento</t>
  </si>
  <si>
    <t>incorporado</t>
  </si>
  <si>
    <t>k/m3</t>
  </si>
  <si>
    <t>RELACION AGUA - CEMENTO POR DURABILIDAD</t>
  </si>
  <si>
    <t>CONGELACION Y DESHIELO</t>
  </si>
  <si>
    <t>ATAQUE A SULFATOS</t>
  </si>
  <si>
    <t>CORROSION DEL ACERO DE REFUERZO</t>
  </si>
  <si>
    <t>Condiciones epeciales de Exposicion</t>
  </si>
  <si>
    <t>Concreto Expuesto a Soluciones de Sulfatos</t>
  </si>
  <si>
    <t>Contenido Maximo de ION Cloruro</t>
  </si>
  <si>
    <t>tabla No 40</t>
  </si>
  <si>
    <t>tabla No 42</t>
  </si>
  <si>
    <t>tabla No 44</t>
  </si>
  <si>
    <t>Relacion W/C maxima, en</t>
  </si>
  <si>
    <t>Resistencia en compresion</t>
  </si>
  <si>
    <t>Sulfatos Soluble en agua</t>
  </si>
  <si>
    <t>Relacion W/C</t>
  </si>
  <si>
    <t>Maximo ION cloruro soluble</t>
  </si>
  <si>
    <t>Condiciones de exposicion</t>
  </si>
  <si>
    <t xml:space="preserve">concretos con agregados </t>
  </si>
  <si>
    <t xml:space="preserve">minima en concretos con </t>
  </si>
  <si>
    <t>presente en el suelo</t>
  </si>
  <si>
    <t>Sulfato en agua como</t>
  </si>
  <si>
    <t>maxima en peso</t>
  </si>
  <si>
    <t>ELEMENTO</t>
  </si>
  <si>
    <t>en el agua del concreto, expre</t>
  </si>
  <si>
    <t>peso normal</t>
  </si>
  <si>
    <t>agregado liviano</t>
  </si>
  <si>
    <t xml:space="preserve">a </t>
  </si>
  <si>
    <t>como SO4</t>
  </si>
  <si>
    <t>SO4</t>
  </si>
  <si>
    <t>tipo</t>
  </si>
  <si>
    <t>En concretos con agraga</t>
  </si>
  <si>
    <t xml:space="preserve">sado como % en peso del </t>
  </si>
  <si>
    <t>Concreto de baja permeabilidad:</t>
  </si>
  <si>
    <t>Sulfatos</t>
  </si>
  <si>
    <t>% en peso</t>
  </si>
  <si>
    <t>do de peso normal</t>
  </si>
  <si>
    <t>concreto</t>
  </si>
  <si>
    <t>de</t>
  </si>
  <si>
    <t>(a)   Expuesto a agua dulce</t>
  </si>
  <si>
    <t>despreciable</t>
  </si>
  <si>
    <t>(a)   Concreto pretrensado</t>
  </si>
  <si>
    <t>(b) Expuesto a agua de mar o aguas solubles</t>
  </si>
  <si>
    <t>II -1P -1PM</t>
  </si>
  <si>
    <t>(b) Concreto armado expuesto a la accion de</t>
  </si>
  <si>
    <t>© Expuestos a la accion de aguas cloacales</t>
  </si>
  <si>
    <t>cloruros</t>
  </si>
  <si>
    <t>Concretos expuestos a procesos de conge-</t>
  </si>
  <si>
    <t>Muy Severa</t>
  </si>
  <si>
    <t>sobre</t>
  </si>
  <si>
    <t>V+puzolana</t>
  </si>
  <si>
    <t>lacion y deshielo en condicion humeda:</t>
  </si>
  <si>
    <t xml:space="preserve">© Concreto armado que debera estarseco o </t>
  </si>
  <si>
    <t>protegido de la humedad durante su vida</t>
  </si>
  <si>
    <t>(a) Sardineles, cunetas, secciones delgadas</t>
  </si>
  <si>
    <t>(b) Otros elementos</t>
  </si>
  <si>
    <t>(d) Otras construcciones de concreto armado</t>
  </si>
  <si>
    <t>Proteccion contra la corrosion de concreto</t>
  </si>
  <si>
    <t>expuesto a la accion de aguas de mar, aguas</t>
  </si>
  <si>
    <t>salubres, neblina o rocio de esta agua</t>
  </si>
  <si>
    <t>Si el recubrimiento minimo se incrementa</t>
  </si>
  <si>
    <t>en 15 cm</t>
  </si>
  <si>
    <t>SELECCIÓN DEL AGREGADO</t>
  </si>
  <si>
    <t>Volumen de agregado grueso por unidad de volumen de concreto</t>
  </si>
  <si>
    <t>Primera Estimacion del Peso del Cooncreto Fresco</t>
  </si>
  <si>
    <t>tabla No 50</t>
  </si>
  <si>
    <t>tabla No 52</t>
  </si>
  <si>
    <t xml:space="preserve">VOLUMEN DE AGREGADO GRUESO SECO Y COMPACTADO POR UNIDAD DE VOLUMEN </t>
  </si>
  <si>
    <t>Tamaño max</t>
  </si>
  <si>
    <t>Primera estimacion del peso del concreto</t>
  </si>
  <si>
    <t xml:space="preserve">nominal </t>
  </si>
  <si>
    <t>MODULO DE FINEZA DEL AGREGADO FINO</t>
  </si>
  <si>
    <t xml:space="preserve">agregado </t>
  </si>
  <si>
    <t>concreto sin aire</t>
  </si>
  <si>
    <t>concreto con aire</t>
  </si>
  <si>
    <t>Porcentaje de Agregado fino</t>
  </si>
  <si>
    <t>tabla No 54</t>
  </si>
  <si>
    <t>Agregado Redondeado</t>
  </si>
  <si>
    <t>Agregado Angular</t>
  </si>
  <si>
    <t>Factor cemento expresado en sacos por m3</t>
  </si>
  <si>
    <t>Agregado fino  Modulo de Fineza de 2.3  a 2.4</t>
  </si>
  <si>
    <t>Agregado fino  Modulo de Fineza de 2.6  a 2.7</t>
  </si>
  <si>
    <t>Agregado fino  Modulo de Fineza de 3.0  a 3.1</t>
  </si>
  <si>
    <t>modulo de Fineza de la Combinacion de Agregados</t>
  </si>
  <si>
    <t>tabla No 56</t>
  </si>
  <si>
    <t>Modulo de fineza de la combinacion de agregados</t>
  </si>
  <si>
    <t>que da las mejores condiciones de trabajabilidad</t>
  </si>
  <si>
    <t>para los contenidos de cemento en sacos por m3</t>
  </si>
  <si>
    <t>OTRAS TABLAS DE PROGRAMA</t>
  </si>
  <si>
    <t>CUADRO DE REGISTROS</t>
  </si>
  <si>
    <t>Si solo se posee un registro de 15 a 29 ensayos consecutivos, la desviacion estandar calcu-</t>
  </si>
  <si>
    <t>TABLA No 2</t>
  </si>
  <si>
    <t>tabla No 3</t>
  </si>
  <si>
    <t>DS</t>
  </si>
  <si>
    <t>∑(Xn - X)²/ (n-1) =</t>
  </si>
  <si>
    <t>Raiz ∑(Xn - X)²/ (n-1)=</t>
  </si>
  <si>
    <t>incremento</t>
  </si>
  <si>
    <t>resultado</t>
  </si>
  <si>
    <t>formato</t>
  </si>
  <si>
    <t>control</t>
  </si>
  <si>
    <t>Tabla de datos obra A</t>
  </si>
  <si>
    <t>Tabla de datos obra B</t>
  </si>
  <si>
    <t xml:space="preserve">DESVIACION ESTANDAR </t>
  </si>
  <si>
    <t>DS  =&gt;</t>
  </si>
  <si>
    <t>PROMEDIO</t>
  </si>
  <si>
    <t>SEGÚN TABLA 3</t>
  </si>
  <si>
    <t xml:space="preserve">f ´c = 140 k/cm2 </t>
  </si>
  <si>
    <t xml:space="preserve">f ´c = 175 k/cm2 </t>
  </si>
  <si>
    <t xml:space="preserve">f ´c = 210 k/cm2 </t>
  </si>
  <si>
    <t xml:space="preserve">f ´c = 245 k/cm2 </t>
  </si>
  <si>
    <t xml:space="preserve">f ´c = 280 k/cm2 </t>
  </si>
  <si>
    <t xml:space="preserve">f ´c = 315 k/cm2 </t>
  </si>
  <si>
    <t xml:space="preserve">f ´c = 350 k/cm2 </t>
  </si>
  <si>
    <t xml:space="preserve">f ´c = 400 k/cm2 </t>
  </si>
  <si>
    <t>SEGÚN TABLA 2</t>
  </si>
  <si>
    <t>f´c r</t>
  </si>
  <si>
    <t>f´ cr  (K/cm2)</t>
  </si>
  <si>
    <t>TIPO CONCRETO</t>
  </si>
  <si>
    <t>F´C</t>
  </si>
  <si>
    <t>RESISTENCIA DE CONCRETO</t>
  </si>
  <si>
    <t>FORMULA TABLA No 2</t>
  </si>
  <si>
    <t>RETORNO</t>
  </si>
  <si>
    <t>RETORNO DE INGRESO DE DATOS</t>
  </si>
  <si>
    <t>=</t>
  </si>
  <si>
    <t>LLEGA</t>
  </si>
  <si>
    <t xml:space="preserve">RESISTENCIA DEL CONCRETO </t>
  </si>
  <si>
    <t xml:space="preserve">RESISTENCIA DEL CONCRETO REQUERIDA </t>
  </si>
  <si>
    <t>f´c =</t>
  </si>
  <si>
    <t>f´c r =</t>
  </si>
  <si>
    <t>CEMENTOS</t>
  </si>
  <si>
    <t>DS  (K/CM2)</t>
  </si>
  <si>
    <t>DS  (K/cm2)</t>
  </si>
  <si>
    <t>CALCULO DE RESISTENCIA PROMEDIO REQUERIDA</t>
  </si>
  <si>
    <t>CORRECCION DE LA DESVIACION ESTANDAR</t>
  </si>
  <si>
    <t xml:space="preserve">-  de 15 </t>
  </si>
  <si>
    <t>FACTOR CORRECCION</t>
  </si>
  <si>
    <t>ESTANDAR</t>
  </si>
  <si>
    <t>DESVIACION</t>
  </si>
  <si>
    <t>Concreto de diseño</t>
  </si>
  <si>
    <t>V2</t>
  </si>
  <si>
    <t>V1</t>
  </si>
  <si>
    <t>No (-)</t>
  </si>
  <si>
    <t>dias calen</t>
  </si>
  <si>
    <t>Dias calen</t>
  </si>
  <si>
    <t>Muestras por debajo</t>
  </si>
  <si>
    <t>Periodo de ensayo</t>
  </si>
  <si>
    <t>usar tabla  03</t>
  </si>
  <si>
    <t>Total de Muestras</t>
  </si>
  <si>
    <t>Pocesadas</t>
  </si>
  <si>
    <t>CORREGIDO (DS)</t>
  </si>
  <si>
    <t>FECHA ROTURA O DS</t>
  </si>
  <si>
    <t>AGREGADOS</t>
  </si>
  <si>
    <t>UNIDAD</t>
  </si>
  <si>
    <t>%</t>
  </si>
  <si>
    <t xml:space="preserve">CONTENIDO DE HUMEDAD   </t>
  </si>
  <si>
    <t>ABSORCION</t>
  </si>
  <si>
    <t>PLASTICA</t>
  </si>
  <si>
    <t>FLUIDA</t>
  </si>
  <si>
    <t>POCO TRABABLE</t>
  </si>
  <si>
    <t>MUY TRABAJABLE</t>
  </si>
  <si>
    <t>TRABAJABLE</t>
  </si>
  <si>
    <t>VIBRACION NORMAL</t>
  </si>
  <si>
    <t>CONISTENCIA</t>
  </si>
  <si>
    <t>TRABAJABILIDAD</t>
  </si>
  <si>
    <t>METODO DE COMPACTACION</t>
  </si>
  <si>
    <t>MEZCLAS SEGÚN SU ASENTAMIENTO</t>
  </si>
  <si>
    <t>ORDEN</t>
  </si>
  <si>
    <t xml:space="preserve">3"  a  4" </t>
  </si>
  <si>
    <t>5"  a  7"</t>
  </si>
  <si>
    <t>TAMAÑO DEL AGREGADO</t>
  </si>
  <si>
    <t xml:space="preserve">TIPO </t>
  </si>
  <si>
    <t>OBRA</t>
  </si>
  <si>
    <t>ZAPATAS, MUROS CONTENSION</t>
  </si>
  <si>
    <t>CONCRETO MASIVOS</t>
  </si>
  <si>
    <t>CONCRETO CICLOPEO</t>
  </si>
  <si>
    <t>ZAPATAS DE MUROS</t>
  </si>
  <si>
    <t>ASENTADO MUROS</t>
  </si>
  <si>
    <t>AGREGADO</t>
  </si>
  <si>
    <t>CONTRA PISOS</t>
  </si>
  <si>
    <t>COLUMNAS, VIGAS, PLACAS</t>
  </si>
  <si>
    <t xml:space="preserve">LOSAS, VIGUETAS, </t>
  </si>
  <si>
    <t>SELECCIÓN DE AGUA DE MEZCLADO</t>
  </si>
  <si>
    <t>EXPOSICION</t>
  </si>
  <si>
    <t>AIRE TOTAL</t>
  </si>
  <si>
    <t>NORMAL</t>
  </si>
  <si>
    <t>SELECCIÓN TAMAÑO AGRAGADO- AIRE ATRAPADO Y INCORPORADO</t>
  </si>
  <si>
    <t>TABLA BLOQUE AIRES</t>
  </si>
  <si>
    <t>VIBRACION LIGERA</t>
  </si>
  <si>
    <t>BLOQUE TRABAJABILIDAD</t>
  </si>
  <si>
    <t>ASENTAMIENTO  O SLUMP</t>
  </si>
  <si>
    <t xml:space="preserve">PORTLAND  SOL </t>
  </si>
  <si>
    <t xml:space="preserve">PORTLAND  ATLAS </t>
  </si>
  <si>
    <t xml:space="preserve">POTLAND  ANDINO </t>
  </si>
  <si>
    <t xml:space="preserve">PORTLAND  ANDINO </t>
  </si>
  <si>
    <t>PORTLAND  PACASMAYO</t>
  </si>
  <si>
    <t>PORTLAND  YURA</t>
  </si>
  <si>
    <t>PORTLAND YURA</t>
  </si>
  <si>
    <t>PORTLAND RUMI</t>
  </si>
  <si>
    <t xml:space="preserve">AIRE </t>
  </si>
  <si>
    <t>ATRAPADO</t>
  </si>
  <si>
    <t>AGUA</t>
  </si>
  <si>
    <t>l/m3</t>
  </si>
  <si>
    <t>INCORPORADO</t>
  </si>
  <si>
    <t>AGUA DE MEZCLA</t>
  </si>
  <si>
    <t>tabla 60</t>
  </si>
  <si>
    <t>Estimacion de la relacion agua-cemento</t>
  </si>
  <si>
    <t>sin aire</t>
  </si>
  <si>
    <t>comité  211 ACI</t>
  </si>
  <si>
    <t>&lt;=  fcr</t>
  </si>
  <si>
    <t>1/50</t>
  </si>
  <si>
    <t>Valor</t>
  </si>
  <si>
    <t>Superior</t>
  </si>
  <si>
    <t>Inferior</t>
  </si>
  <si>
    <t>Rango</t>
  </si>
  <si>
    <t>inferior</t>
  </si>
  <si>
    <t>diferencia</t>
  </si>
  <si>
    <t>polarizacion</t>
  </si>
  <si>
    <t>Base</t>
  </si>
  <si>
    <t>Multiplo</t>
  </si>
  <si>
    <t xml:space="preserve">total </t>
  </si>
  <si>
    <t>multiplo</t>
  </si>
  <si>
    <t>agua cemento</t>
  </si>
  <si>
    <t>INTERPOLACION</t>
  </si>
  <si>
    <t>AGUA CEMENTO</t>
  </si>
  <si>
    <t>A/C</t>
  </si>
  <si>
    <t>CALCULO DE FACTOR CEMENTO</t>
  </si>
  <si>
    <t>FACTOR CEMENTO</t>
  </si>
  <si>
    <t>K/m3</t>
  </si>
  <si>
    <t>FINO</t>
  </si>
  <si>
    <t>m3</t>
  </si>
  <si>
    <t>PESO SECO COMPACTO</t>
  </si>
  <si>
    <t>VOLUMEN ABSOLUTO</t>
  </si>
  <si>
    <t>AIRE</t>
  </si>
  <si>
    <t>mf</t>
  </si>
  <si>
    <t>PRUEBA LOGICA</t>
  </si>
  <si>
    <t>AGREGADO GRUESO</t>
  </si>
  <si>
    <t>TOTAL</t>
  </si>
  <si>
    <t>ABSOLUTO</t>
  </si>
  <si>
    <t>Unidad</t>
  </si>
  <si>
    <t>ESPECIFICACIONES</t>
  </si>
  <si>
    <t>PESO UNITARIO SECO COMPACTO</t>
  </si>
  <si>
    <t>l /m3</t>
  </si>
  <si>
    <t>PESO HUMEDO COMPACTO</t>
  </si>
  <si>
    <t>l / m3</t>
  </si>
  <si>
    <t>PROPORCION EN PESO SECO</t>
  </si>
  <si>
    <t>PROPORCION EN PESO HUMEDO</t>
  </si>
  <si>
    <t>SACO</t>
  </si>
  <si>
    <t>EN PESO</t>
  </si>
  <si>
    <t>RESULTADOS FINALES</t>
  </si>
  <si>
    <t>f´c  =</t>
  </si>
  <si>
    <t xml:space="preserve">ECUACIONES </t>
  </si>
  <si>
    <t>SEGÚN ECUACIONES</t>
  </si>
  <si>
    <t>ASENTAMIENTO</t>
  </si>
  <si>
    <t>deshielo en humedo</t>
  </si>
  <si>
    <t>(concreto minimo debe ser de f´c=245 k/cm2</t>
  </si>
  <si>
    <t>corrosion concreto expues</t>
  </si>
  <si>
    <t>to a aguas de:</t>
  </si>
  <si>
    <t>agregados</t>
  </si>
  <si>
    <t>maxima, con</t>
  </si>
  <si>
    <t>resistencia</t>
  </si>
  <si>
    <t>minimo</t>
  </si>
  <si>
    <t>liviano</t>
  </si>
  <si>
    <t>Orden</t>
  </si>
  <si>
    <t>PARAMETROS DE DISEÑO DEL CONCRETO</t>
  </si>
  <si>
    <t>POR RESISTENCIA</t>
  </si>
  <si>
    <t>POR DURABILIDAD</t>
  </si>
  <si>
    <t>RESISTENCIA DE</t>
  </si>
  <si>
    <t xml:space="preserve">RESISTENCIA </t>
  </si>
  <si>
    <t>CONDICIONES DE OBRA</t>
  </si>
  <si>
    <t>procesos de congelacion</t>
  </si>
  <si>
    <t>W/C</t>
  </si>
  <si>
    <t>PESO NORMAL</t>
  </si>
  <si>
    <t>BOLSAS / m3</t>
  </si>
  <si>
    <t xml:space="preserve">concreto de baja permeabilidad </t>
  </si>
  <si>
    <t>SEVERO</t>
  </si>
  <si>
    <t>MODERADO</t>
  </si>
  <si>
    <t>SEMI SECA</t>
  </si>
  <si>
    <t>CHUCEADO VAR 5/8"</t>
  </si>
  <si>
    <t>5" a 7"</t>
  </si>
  <si>
    <t>VINCULO</t>
  </si>
  <si>
    <t>A la accion agentes quimicos y congelantes</t>
  </si>
  <si>
    <t>Congelacion, deshielo humedo: Sardineles, cunetas</t>
  </si>
  <si>
    <t>Expuesto a agua dulce</t>
  </si>
  <si>
    <t>Expuesto a agua de mar o aguas solubles</t>
  </si>
  <si>
    <t>Expuestos a la accion de aguas cloacales</t>
  </si>
  <si>
    <t>De mar, salubres, rocio de neblinas</t>
  </si>
  <si>
    <t>Si el recub minimo incrementea en 15 cm</t>
  </si>
  <si>
    <t>Esperarse procesos de congelacion</t>
  </si>
  <si>
    <t>$O$126</t>
  </si>
  <si>
    <t>CONDICION</t>
  </si>
  <si>
    <t>P128</t>
  </si>
  <si>
    <t>PROCESAMIENTO DE DATOS</t>
  </si>
  <si>
    <t>con REGISTRO de datos de RESISTENCIA  f´(x)</t>
  </si>
  <si>
    <t xml:space="preserve">carece de DATO ALGUNO </t>
  </si>
  <si>
    <t>ingrese DESVIACION ESTANDAR  (DS)</t>
  </si>
  <si>
    <t>+35&lt; f´c &lt;-35</t>
  </si>
  <si>
    <t>fecha</t>
  </si>
  <si>
    <t>NORMA (E.060) CONCRETO ARMADO</t>
  </si>
  <si>
    <t>Coeficiente de Variacion</t>
  </si>
  <si>
    <t>RESISTENCIA PROMEDIO REQUERIDA según</t>
  </si>
  <si>
    <t>TABLA 3</t>
  </si>
  <si>
    <t>VARIACION PROMEDIO</t>
  </si>
  <si>
    <t>debajo de 1 en 5</t>
  </si>
  <si>
    <t>debajo de 1 en 10</t>
  </si>
  <si>
    <t>debajo de 1 en 20</t>
  </si>
  <si>
    <t>vinculo</t>
  </si>
  <si>
    <t>buscar</t>
  </si>
  <si>
    <t>No de Muestras</t>
  </si>
  <si>
    <t>t</t>
  </si>
  <si>
    <t>Posibilidad de caer</t>
  </si>
  <si>
    <t>Normal</t>
  </si>
  <si>
    <t>Mejorar trabajabilidad y cohesividad</t>
  </si>
  <si>
    <t>Congelacion, dehielo humedo:  Otros elementos</t>
  </si>
  <si>
    <t>Concreto a condiciones normales</t>
  </si>
  <si>
    <t>seleccione</t>
  </si>
  <si>
    <t>SEVEROS</t>
  </si>
  <si>
    <t>NORMALES</t>
  </si>
  <si>
    <t>tabla 62</t>
  </si>
  <si>
    <t>EXPOSICION SEVERO &gt;245</t>
  </si>
  <si>
    <t>EXPOSICION NORMAL</t>
  </si>
  <si>
    <t xml:space="preserve"> POR DEBAJO</t>
  </si>
  <si>
    <t>CALCULO DE LA DESVIACION ESTÁNDAR ( DS)</t>
  </si>
  <si>
    <t>DS =</t>
  </si>
  <si>
    <t>Desviacion Estandar en K/cm2</t>
  </si>
  <si>
    <t>Xi =</t>
  </si>
  <si>
    <t xml:space="preserve">Resistencia de la probeta de concreto </t>
  </si>
  <si>
    <t>X =</t>
  </si>
  <si>
    <t>Resistencia promedio de n provetas</t>
  </si>
  <si>
    <t xml:space="preserve">n = </t>
  </si>
  <si>
    <t>Numero de ensayos consecutivos</t>
  </si>
  <si>
    <t>donde :</t>
  </si>
  <si>
    <t>Desviacion Estandar promedio en K/cm2</t>
  </si>
  <si>
    <t>DS1, DS2 =</t>
  </si>
  <si>
    <t>Desviacion Estandar calculada para los grupos A y B respectivamente</t>
  </si>
  <si>
    <t xml:space="preserve">n1, n2 = </t>
  </si>
  <si>
    <t>Numero de ensayos de cada grupo</t>
  </si>
  <si>
    <t>lada es amplificada por los factores de correccion dados por la tabla 01 obteniendose un va-</t>
  </si>
  <si>
    <t>lor equivalente a aquel de registro de 30 ensayos</t>
  </si>
  <si>
    <t>En ambos metodos la desviacion estandar usada en el calculo de la resistencia promedio</t>
  </si>
  <si>
    <t xml:space="preserve">requerida debe ser obtenida bajo condiciones similares a las consideradas, es importante para </t>
  </si>
  <si>
    <t xml:space="preserve">asegurar la aceptabilidad del concreto, lo que significa que deberan utilizarse materiales y </t>
  </si>
  <si>
    <t>metodos de produccion similares y que la resietenciaa empleada en el calculo se la des-</t>
  </si>
  <si>
    <t>viacion estandar estara dentro de un rango de 70 k/cm2 de la resistrencia especificado. Cua-</t>
  </si>
  <si>
    <t>ando existan dudas el valor de la desviacion estandar usado para calcular el valor de la resis-</t>
  </si>
  <si>
    <t>tencia promedio requerida debe estar siempre en el lado conservador.</t>
  </si>
  <si>
    <t xml:space="preserve">SELECCIÓN DE LA RESISTENCIA PROMEDIO REQUERIDA </t>
  </si>
  <si>
    <t>Para darle la garantia segura de los valores obtenidos de ñla desviacion estandar</t>
  </si>
  <si>
    <t>se propone al calculo propuesto por el:</t>
  </si>
  <si>
    <t>considerando la variacion promedio de la resistencia calculada por la ecuacion:</t>
  </si>
  <si>
    <t>V =</t>
  </si>
  <si>
    <t>Varaiacion promedio de la resietencia en %</t>
  </si>
  <si>
    <t>V1, V2 =</t>
  </si>
  <si>
    <t>Varaicion calculada para los grupos A y B respectivamente</t>
  </si>
  <si>
    <t>y la siguiente ecuacion:</t>
  </si>
  <si>
    <t>donde:</t>
  </si>
  <si>
    <t>f´cr =</t>
  </si>
  <si>
    <t>Resistencia requerida</t>
  </si>
  <si>
    <t>Resistencia especificado o de diseño</t>
  </si>
  <si>
    <t>t  =</t>
  </si>
  <si>
    <t>Valores tabulados en la tabla 3 donde espeficiado: Ensayos que pueden caer por</t>
  </si>
  <si>
    <t>debajo de la resietencia especificada en grupos de 1a5, de 1a10 y de 1a20</t>
  </si>
  <si>
    <t>CONCLUSION : A fin de obtener un valor de La resistencia requerida aceptable y segura se tomara el</t>
  </si>
  <si>
    <t>mayor de los resultados.</t>
  </si>
  <si>
    <t>INGRESO DE DATOS</t>
  </si>
  <si>
    <t>4.1.1</t>
  </si>
  <si>
    <t>4.1.2</t>
  </si>
  <si>
    <t>4.1.3</t>
  </si>
  <si>
    <t>RESISTENCIA PROMEDIO REQUERIDA COMPARADA FINAL</t>
  </si>
  <si>
    <t>DOSIFICACION DE MATERIALES, EN PESOS SECOS COMPACTO</t>
  </si>
  <si>
    <t>DOSIFICACION PARA UNA TANDA DE SACO DE CEMENTO EN PESO</t>
  </si>
  <si>
    <t>PESO UNITARIO SECO SUELTO</t>
  </si>
  <si>
    <t>K/M3</t>
  </si>
  <si>
    <t>DOSIFICACION EN VOLUMEN SUELTO HUMEDO</t>
  </si>
  <si>
    <t xml:space="preserve">DOSIFICACION EN VOLUMEN SUELTO SECO </t>
  </si>
  <si>
    <t>DOSIFICACION EN VOLUMEN HUMEDO</t>
  </si>
  <si>
    <t>DOSIFICACION DE LOS MATERIALES DE MEZCLAS</t>
  </si>
  <si>
    <t>CAPITULO III</t>
  </si>
  <si>
    <t>MALLA</t>
  </si>
  <si>
    <t>PORCENTAJE QUE PASA</t>
  </si>
  <si>
    <t>ACUMULATIVO</t>
  </si>
  <si>
    <t>No 16</t>
  </si>
  <si>
    <t>No 30</t>
  </si>
  <si>
    <t>No 50</t>
  </si>
  <si>
    <t>No 100</t>
  </si>
  <si>
    <t>9.5 mm</t>
  </si>
  <si>
    <t>4.75 mm</t>
  </si>
  <si>
    <t>2.36 mm</t>
  </si>
  <si>
    <t>1.18 mm</t>
  </si>
  <si>
    <t>600 um</t>
  </si>
  <si>
    <t>300 um</t>
  </si>
  <si>
    <t>150 um</t>
  </si>
  <si>
    <t>Limites de Granulometria de la arena gruesa</t>
  </si>
  <si>
    <t>Norma ASTM C 33</t>
  </si>
  <si>
    <t>ASTM</t>
  </si>
  <si>
    <t>NOMINAL</t>
  </si>
  <si>
    <t>mm</t>
  </si>
  <si>
    <t>PULG</t>
  </si>
  <si>
    <t>%   QUE   PASA   POR   LOS   TAMICES   NORMALIZADOS</t>
  </si>
  <si>
    <t>90 a 37.5 mm</t>
  </si>
  <si>
    <t>90 a 100</t>
  </si>
  <si>
    <t>25 a 60</t>
  </si>
  <si>
    <t>0 a 15</t>
  </si>
  <si>
    <t>0 a 5</t>
  </si>
  <si>
    <t>35 a 70</t>
  </si>
  <si>
    <t>50 a 25 mm</t>
  </si>
  <si>
    <t>63 a 37.5 mm</t>
  </si>
  <si>
    <t>50 a 4.75 mm</t>
  </si>
  <si>
    <t>95 a 100</t>
  </si>
  <si>
    <t>2" a No 4</t>
  </si>
  <si>
    <t>37.5 a 19 mm</t>
  </si>
  <si>
    <t>20 a 55</t>
  </si>
  <si>
    <t>37.5 a 4.75 mm</t>
  </si>
  <si>
    <t>10 a 30</t>
  </si>
  <si>
    <t>25 a 12.5 mm</t>
  </si>
  <si>
    <t>1" a 1/2"</t>
  </si>
  <si>
    <t>1 1/2" a No4</t>
  </si>
  <si>
    <t>1 1/2" a 3/4</t>
  </si>
  <si>
    <t>2"  a  1"</t>
  </si>
  <si>
    <t>2 1/2" a 1 1/2"</t>
  </si>
  <si>
    <t>3 1/2" a 1 1/2"</t>
  </si>
  <si>
    <t>0 a 10</t>
  </si>
  <si>
    <t>25 a 9.5 mm</t>
  </si>
  <si>
    <t>1" a 3/8"</t>
  </si>
  <si>
    <t xml:space="preserve">REQUERIMIENTO DE GRANULOMETRIA DE LOS AGREGADOS GRUESO                                          </t>
  </si>
  <si>
    <t>40 a 85</t>
  </si>
  <si>
    <t>10 a 40</t>
  </si>
  <si>
    <t>10 a 15</t>
  </si>
  <si>
    <t>25 a 4.75 mm</t>
  </si>
  <si>
    <t>1" a No 4</t>
  </si>
  <si>
    <t>19 a 9.5 mm</t>
  </si>
  <si>
    <t>3/4" a 3/8"</t>
  </si>
  <si>
    <t>19 a 4.75 mm</t>
  </si>
  <si>
    <t>3/4" a No 4</t>
  </si>
  <si>
    <t>12.5 a 4.75 mm</t>
  </si>
  <si>
    <t>1/2" a No 4</t>
  </si>
  <si>
    <t>40 a 70</t>
  </si>
  <si>
    <t>9.5 a 2.36 mm</t>
  </si>
  <si>
    <t>3/8" a No 8</t>
  </si>
  <si>
    <t>85 a 100</t>
  </si>
  <si>
    <t>Kg/m3</t>
  </si>
  <si>
    <t>CANTERA</t>
  </si>
  <si>
    <t>FORMA</t>
  </si>
  <si>
    <t>ANGULAR</t>
  </si>
  <si>
    <t>PROVINCIA</t>
  </si>
  <si>
    <t>REDONDEADO</t>
  </si>
  <si>
    <t>Efectos de exposicion</t>
  </si>
  <si>
    <t>ADITIVOS</t>
  </si>
  <si>
    <t>REQUERIMIENTO</t>
  </si>
  <si>
    <t>REQUERIMIENTO ADITIVOS</t>
  </si>
  <si>
    <t>DOSIFICACION</t>
  </si>
  <si>
    <t>DISEÑO (K/cm2)</t>
  </si>
  <si>
    <t>REQUERIDO (K/cm2)</t>
  </si>
  <si>
    <t>agua/ tanda</t>
  </si>
  <si>
    <t>l/saco</t>
  </si>
  <si>
    <t>TIPOS DE ADITIVOS</t>
  </si>
  <si>
    <t>tabla41</t>
  </si>
  <si>
    <t>seleccionar</t>
  </si>
  <si>
    <t>KG</t>
  </si>
  <si>
    <t>0"  a  2"</t>
  </si>
  <si>
    <t>HORMIGON</t>
  </si>
  <si>
    <t>Ecuaciones resistencia promedio</t>
  </si>
  <si>
    <t>RIO</t>
  </si>
  <si>
    <t xml:space="preserve">f ´c = 100 k/cm2 </t>
  </si>
  <si>
    <t xml:space="preserve">Se considera como un ensayo de resistencia el promedio de los resultados de  </t>
  </si>
  <si>
    <t xml:space="preserve">dos probetas cilindricas preparadas de la misma muestra de concreto y ensaya- </t>
  </si>
  <si>
    <t>das a los 28 dias o a la edad elegida para la determinacion de la resistencia del</t>
  </si>
  <si>
    <t>JICAMARCA</t>
  </si>
  <si>
    <t>LIMA</t>
  </si>
  <si>
    <t>gr/cm3</t>
  </si>
  <si>
    <t>EUCO MR 370</t>
  </si>
  <si>
    <t>PIEDRA / ARENA</t>
  </si>
  <si>
    <t>Volumen de agregados :</t>
  </si>
  <si>
    <t>Volumen de Piedra       :</t>
  </si>
  <si>
    <t>Volumen de Arena        :</t>
  </si>
  <si>
    <t>DOSIFICACION DE MATERIALES, EN PESOS SECOS CORREGIDO POR PROPORCIÓN DE AGREGADOS</t>
  </si>
  <si>
    <t>PROPORCIÓN ACTUAL DE AGREGADOS</t>
  </si>
  <si>
    <t>…….</t>
  </si>
  <si>
    <t>PESO UNITARIO SECO COMPACTADO</t>
  </si>
  <si>
    <t>PESO UNITARIO SUELTO SECO</t>
  </si>
  <si>
    <t>PESO ESPECIFICO  DE MASA</t>
  </si>
  <si>
    <t>…..</t>
  </si>
  <si>
    <t>……</t>
  </si>
  <si>
    <t>EUCO MR 370 PLASTIFICANTE</t>
  </si>
  <si>
    <t>EUCO MR 370 SUPERPLASTIFICANTE</t>
  </si>
  <si>
    <t>(%)</t>
  </si>
  <si>
    <t>LT/M3</t>
  </si>
  <si>
    <t>Aditivo</t>
  </si>
  <si>
    <t>MAXIMA RELACIÓN</t>
  </si>
  <si>
    <t>ITEM</t>
  </si>
  <si>
    <t>Dosis %</t>
  </si>
  <si>
    <t>PE</t>
  </si>
  <si>
    <t>Dosis cc</t>
  </si>
  <si>
    <t>Dosificación
de aditivos</t>
  </si>
  <si>
    <t>Euco MR 370</t>
  </si>
  <si>
    <t>%                 =</t>
  </si>
  <si>
    <t>cc</t>
  </si>
  <si>
    <t>PE Euco MR 370</t>
  </si>
  <si>
    <t>TANDAS M3</t>
  </si>
  <si>
    <t>DOSIFICACION PARA TANDA DE</t>
  </si>
  <si>
    <r>
      <t>M</t>
    </r>
    <r>
      <rPr>
        <vertAlign val="superscript"/>
        <sz val="10"/>
        <rFont val="Arial"/>
        <family val="2"/>
      </rPr>
      <t>3</t>
    </r>
  </si>
  <si>
    <t>Kg</t>
  </si>
  <si>
    <t>ml</t>
  </si>
  <si>
    <t>Lt</t>
  </si>
  <si>
    <t>RELACION (A/C)</t>
  </si>
  <si>
    <t>CORRECCIÓN DE PROPORCION DE AGREGADOS</t>
  </si>
  <si>
    <t>DOSIFICACION EN PESO HUMEDO</t>
  </si>
  <si>
    <t>MEJORAR PLASTICIDAD</t>
  </si>
  <si>
    <t>PARA CONG. Y DESHIELO</t>
  </si>
  <si>
    <t>DURABLE</t>
  </si>
  <si>
    <t>PESO UNITARIO HUEMEDO SUELTO</t>
  </si>
  <si>
    <t>R a/c =</t>
  </si>
  <si>
    <t>MAX. NOM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</si>
</sst>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#,##0.000"/>
    <numFmt numFmtId="198" formatCode="0.0%"/>
    <numFmt numFmtId="199" formatCode="#,##0.0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[$-280A]dddd\,\ dd&quot; de &quot;mmmm&quot; de &quot;yyyy"/>
    <numFmt numFmtId="206" formatCode="d/m/yy;@"/>
    <numFmt numFmtId="207" formatCode="dd/mm/yy;@"/>
    <numFmt numFmtId="208" formatCode="0.000000000"/>
    <numFmt numFmtId="209" formatCode="0.0000000000"/>
    <numFmt numFmtId="210" formatCode="0.00000000000"/>
    <numFmt numFmtId="211" formatCode="0.00000000"/>
    <numFmt numFmtId="212" formatCode="#,##0.0000"/>
    <numFmt numFmtId="213" formatCode="\:\ dd/mm/yyyy"/>
    <numFmt numFmtId="214" formatCode="0.00000000000000"/>
    <numFmt numFmtId="215" formatCode="0.0000000000000"/>
    <numFmt numFmtId="216" formatCode="0.000000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2"/>
      <name val="Tahoma"/>
      <family val="2"/>
    </font>
    <font>
      <sz val="9"/>
      <name val="Tahoma"/>
      <family val="2"/>
    </font>
    <font>
      <vertAlign val="superscript"/>
      <sz val="10"/>
      <name val="Arial"/>
      <family val="2"/>
    </font>
    <font>
      <sz val="11"/>
      <color indexed="10"/>
      <name val="Calibri"/>
      <family val="2"/>
    </font>
    <font>
      <sz val="9"/>
      <color indexed="27"/>
      <name val="Calibri"/>
      <family val="2"/>
    </font>
    <font>
      <sz val="9"/>
      <name val="Calibri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9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13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3" xfId="0" applyFont="1" applyBorder="1" applyAlignment="1">
      <alignment/>
    </xf>
    <xf numFmtId="196" fontId="6" fillId="0" borderId="24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8" fillId="33" borderId="0" xfId="0" applyFont="1" applyFill="1" applyAlignment="1">
      <alignment/>
    </xf>
    <xf numFmtId="196" fontId="7" fillId="0" borderId="0" xfId="0" applyNumberFormat="1" applyFont="1" applyAlignment="1">
      <alignment horizontal="center"/>
    </xf>
    <xf numFmtId="1" fontId="6" fillId="0" borderId="26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1" fontId="8" fillId="36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45" xfId="0" applyFont="1" applyBorder="1" applyAlignment="1">
      <alignment/>
    </xf>
    <xf numFmtId="49" fontId="6" fillId="0" borderId="46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207" fontId="8" fillId="0" borderId="0" xfId="0" applyNumberFormat="1" applyFont="1" applyAlignment="1">
      <alignment/>
    </xf>
    <xf numFmtId="196" fontId="0" fillId="0" borderId="0" xfId="0" applyNumberFormat="1" applyAlignment="1">
      <alignment/>
    </xf>
    <xf numFmtId="196" fontId="7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0" fontId="6" fillId="33" borderId="47" xfId="0" applyFont="1" applyFill="1" applyBorder="1" applyAlignment="1">
      <alignment/>
    </xf>
    <xf numFmtId="0" fontId="6" fillId="33" borderId="4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0" fontId="6" fillId="0" borderId="23" xfId="0" applyNumberFormat="1" applyFont="1" applyBorder="1" applyAlignment="1">
      <alignment/>
    </xf>
    <xf numFmtId="2" fontId="13" fillId="0" borderId="17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10" fontId="13" fillId="0" borderId="33" xfId="0" applyNumberFormat="1" applyFont="1" applyBorder="1" applyAlignment="1">
      <alignment/>
    </xf>
    <xf numFmtId="38" fontId="6" fillId="0" borderId="26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38" fontId="13" fillId="0" borderId="33" xfId="0" applyNumberFormat="1" applyFont="1" applyBorder="1" applyAlignment="1">
      <alignment horizontal="center"/>
    </xf>
    <xf numFmtId="38" fontId="13" fillId="0" borderId="2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36" borderId="0" xfId="0" applyNumberFormat="1" applyFont="1" applyFill="1" applyAlignment="1">
      <alignment horizontal="center"/>
    </xf>
    <xf numFmtId="1" fontId="8" fillId="35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44" xfId="0" applyFont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36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36" borderId="45" xfId="0" applyNumberFormat="1" applyFont="1" applyFill="1" applyBorder="1" applyAlignment="1">
      <alignment horizontal="center"/>
    </xf>
    <xf numFmtId="1" fontId="8" fillId="36" borderId="5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96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34" borderId="24" xfId="0" applyNumberFormat="1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 quotePrefix="1">
      <alignment horizontal="center"/>
    </xf>
    <xf numFmtId="49" fontId="6" fillId="0" borderId="24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9" fontId="6" fillId="34" borderId="52" xfId="0" applyNumberFormat="1" applyFont="1" applyFill="1" applyBorder="1" applyAlignment="1">
      <alignment horizontal="center"/>
    </xf>
    <xf numFmtId="9" fontId="6" fillId="34" borderId="53" xfId="0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196" fontId="6" fillId="0" borderId="25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6" fillId="0" borderId="19" xfId="0" applyFont="1" applyBorder="1" applyAlignment="1">
      <alignment horizontal="center"/>
    </xf>
    <xf numFmtId="198" fontId="6" fillId="0" borderId="33" xfId="0" applyNumberFormat="1" applyFont="1" applyBorder="1" applyAlignment="1">
      <alignment horizontal="center"/>
    </xf>
    <xf numFmtId="198" fontId="6" fillId="0" borderId="11" xfId="0" applyNumberFormat="1" applyFont="1" applyBorder="1" applyAlignment="1">
      <alignment horizontal="center"/>
    </xf>
    <xf numFmtId="198" fontId="6" fillId="0" borderId="25" xfId="0" applyNumberFormat="1" applyFont="1" applyBorder="1" applyAlignment="1">
      <alignment horizontal="center"/>
    </xf>
    <xf numFmtId="198" fontId="6" fillId="0" borderId="2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" fillId="0" borderId="49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33" xfId="0" applyNumberFormat="1" applyFont="1" applyBorder="1" applyAlignment="1">
      <alignment horizontal="center"/>
    </xf>
    <xf numFmtId="9" fontId="15" fillId="0" borderId="11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2" fontId="6" fillId="0" borderId="33" xfId="0" applyNumberFormat="1" applyFont="1" applyBorder="1" applyAlignment="1" quotePrefix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 quotePrefix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4" xfId="0" applyNumberFormat="1" applyFont="1" applyBorder="1" applyAlignment="1" quotePrefix="1">
      <alignment horizontal="center"/>
    </xf>
    <xf numFmtId="0" fontId="6" fillId="0" borderId="25" xfId="0" applyFont="1" applyBorder="1" applyAlignment="1" quotePrefix="1">
      <alignment/>
    </xf>
    <xf numFmtId="2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0" fontId="6" fillId="0" borderId="34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2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196" fontId="11" fillId="37" borderId="25" xfId="0" applyNumberFormat="1" applyFont="1" applyFill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98" fontId="8" fillId="35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1" fontId="8" fillId="35" borderId="0" xfId="0" applyNumberFormat="1" applyFont="1" applyFill="1" applyAlignment="1">
      <alignment horizontal="center"/>
    </xf>
    <xf numFmtId="0" fontId="0" fillId="34" borderId="51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50" xfId="0" applyFill="1" applyBorder="1" applyAlignment="1">
      <alignment/>
    </xf>
    <xf numFmtId="0" fontId="7" fillId="34" borderId="49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5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6" fillId="0" borderId="74" xfId="0" applyFont="1" applyBorder="1" applyAlignment="1">
      <alignment/>
    </xf>
    <xf numFmtId="1" fontId="8" fillId="38" borderId="75" xfId="0" applyNumberFormat="1" applyFont="1" applyFill="1" applyBorder="1" applyAlignment="1">
      <alignment horizontal="center"/>
    </xf>
    <xf numFmtId="1" fontId="8" fillId="38" borderId="76" xfId="0" applyNumberFormat="1" applyFont="1" applyFill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 horizontal="center"/>
    </xf>
    <xf numFmtId="212" fontId="1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7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0" fillId="0" borderId="49" xfId="0" applyBorder="1" applyAlignment="1">
      <alignment/>
    </xf>
    <xf numFmtId="4" fontId="7" fillId="36" borderId="4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200" fontId="0" fillId="0" borderId="0" xfId="0" applyNumberFormat="1" applyBorder="1" applyAlignment="1">
      <alignment/>
    </xf>
    <xf numFmtId="0" fontId="6" fillId="38" borderId="39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6" fillId="38" borderId="44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33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right"/>
    </xf>
    <xf numFmtId="1" fontId="8" fillId="38" borderId="0" xfId="0" applyNumberFormat="1" applyFont="1" applyFill="1" applyBorder="1" applyAlignment="1">
      <alignment horizontal="center"/>
    </xf>
    <xf numFmtId="0" fontId="8" fillId="38" borderId="40" xfId="0" applyFont="1" applyFill="1" applyBorder="1" applyAlignment="1">
      <alignment horizontal="left"/>
    </xf>
    <xf numFmtId="0" fontId="6" fillId="38" borderId="37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right"/>
    </xf>
    <xf numFmtId="1" fontId="8" fillId="38" borderId="37" xfId="0" applyNumberFormat="1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right"/>
    </xf>
    <xf numFmtId="1" fontId="8" fillId="33" borderId="50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1" fontId="8" fillId="33" borderId="12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51" xfId="0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5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2" fontId="6" fillId="0" borderId="46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8" fillId="35" borderId="0" xfId="0" applyNumberFormat="1" applyFont="1" applyFill="1" applyBorder="1" applyAlignment="1">
      <alignment horizontal="center"/>
    </xf>
    <xf numFmtId="1" fontId="6" fillId="36" borderId="0" xfId="0" applyNumberFormat="1" applyFont="1" applyFill="1" applyAlignment="1">
      <alignment horizontal="center"/>
    </xf>
    <xf numFmtId="0" fontId="13" fillId="0" borderId="49" xfId="0" applyFont="1" applyBorder="1" applyAlignment="1">
      <alignment/>
    </xf>
    <xf numFmtId="0" fontId="13" fillId="0" borderId="18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3" fontId="6" fillId="0" borderId="4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7" fillId="0" borderId="29" xfId="0" applyNumberFormat="1" applyFont="1" applyBorder="1" applyAlignment="1">
      <alignment/>
    </xf>
    <xf numFmtId="2" fontId="7" fillId="0" borderId="52" xfId="0" applyNumberFormat="1" applyFont="1" applyBorder="1" applyAlignment="1">
      <alignment horizontal="center"/>
    </xf>
    <xf numFmtId="3" fontId="8" fillId="35" borderId="0" xfId="0" applyNumberFormat="1" applyFont="1" applyFill="1" applyAlignment="1">
      <alignment horizontal="center"/>
    </xf>
    <xf numFmtId="10" fontId="13" fillId="0" borderId="5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3" fontId="6" fillId="0" borderId="2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0" fillId="38" borderId="77" xfId="0" applyFill="1" applyBorder="1" applyAlignment="1">
      <alignment/>
    </xf>
    <xf numFmtId="0" fontId="6" fillId="38" borderId="77" xfId="0" applyFont="1" applyFill="1" applyBorder="1" applyAlignment="1">
      <alignment horizontal="center"/>
    </xf>
    <xf numFmtId="0" fontId="6" fillId="38" borderId="78" xfId="0" applyFont="1" applyFill="1" applyBorder="1" applyAlignment="1">
      <alignment horizontal="center"/>
    </xf>
    <xf numFmtId="0" fontId="0" fillId="38" borderId="79" xfId="0" applyFill="1" applyBorder="1" applyAlignment="1">
      <alignment/>
    </xf>
    <xf numFmtId="0" fontId="7" fillId="34" borderId="80" xfId="0" applyFont="1" applyFill="1" applyBorder="1" applyAlignment="1">
      <alignment horizontal="left"/>
    </xf>
    <xf numFmtId="0" fontId="7" fillId="34" borderId="81" xfId="0" applyFont="1" applyFill="1" applyBorder="1" applyAlignment="1">
      <alignment/>
    </xf>
    <xf numFmtId="0" fontId="0" fillId="34" borderId="81" xfId="0" applyFont="1" applyFill="1" applyBorder="1" applyAlignment="1">
      <alignment/>
    </xf>
    <xf numFmtId="0" fontId="0" fillId="34" borderId="82" xfId="0" applyFont="1" applyFill="1" applyBorder="1" applyAlignment="1">
      <alignment/>
    </xf>
    <xf numFmtId="0" fontId="7" fillId="34" borderId="83" xfId="0" applyFont="1" applyFill="1" applyBorder="1" applyAlignment="1">
      <alignment horizontal="center"/>
    </xf>
    <xf numFmtId="0" fontId="0" fillId="34" borderId="77" xfId="0" applyFont="1" applyFill="1" applyBorder="1" applyAlignment="1">
      <alignment/>
    </xf>
    <xf numFmtId="0" fontId="7" fillId="34" borderId="83" xfId="0" applyFont="1" applyFill="1" applyBorder="1" applyAlignment="1">
      <alignment horizontal="left"/>
    </xf>
    <xf numFmtId="0" fontId="7" fillId="34" borderId="84" xfId="0" applyFont="1" applyFill="1" applyBorder="1" applyAlignment="1">
      <alignment horizontal="left"/>
    </xf>
    <xf numFmtId="0" fontId="7" fillId="34" borderId="78" xfId="0" applyFont="1" applyFill="1" applyBorder="1" applyAlignment="1">
      <alignment/>
    </xf>
    <xf numFmtId="0" fontId="0" fillId="34" borderId="78" xfId="0" applyFont="1" applyFill="1" applyBorder="1" applyAlignment="1">
      <alignment/>
    </xf>
    <xf numFmtId="0" fontId="0" fillId="34" borderId="79" xfId="0" applyFont="1" applyFill="1" applyBorder="1" applyAlignment="1">
      <alignment/>
    </xf>
    <xf numFmtId="0" fontId="0" fillId="38" borderId="78" xfId="0" applyFill="1" applyBorder="1" applyAlignment="1">
      <alignment/>
    </xf>
    <xf numFmtId="12" fontId="6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96" fontId="6" fillId="0" borderId="0" xfId="0" applyNumberFormat="1" applyFont="1" applyAlignment="1">
      <alignment horizontal="center"/>
    </xf>
    <xf numFmtId="196" fontId="8" fillId="36" borderId="0" xfId="0" applyNumberFormat="1" applyFont="1" applyFill="1" applyBorder="1" applyAlignment="1">
      <alignment horizontal="center"/>
    </xf>
    <xf numFmtId="0" fontId="6" fillId="0" borderId="50" xfId="0" applyFont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/>
    </xf>
    <xf numFmtId="207" fontId="17" fillId="0" borderId="0" xfId="0" applyNumberFormat="1" applyFont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37" xfId="0" applyFont="1" applyBorder="1" applyAlignment="1">
      <alignment/>
    </xf>
    <xf numFmtId="0" fontId="6" fillId="38" borderId="46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207" fontId="6" fillId="33" borderId="45" xfId="0" applyNumberFormat="1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 horizontal="center"/>
      <protection locked="0"/>
    </xf>
    <xf numFmtId="0" fontId="6" fillId="39" borderId="11" xfId="0" applyFont="1" applyFill="1" applyBorder="1" applyAlignment="1" applyProtection="1">
      <alignment horizontal="center"/>
      <protection locked="0"/>
    </xf>
    <xf numFmtId="0" fontId="6" fillId="39" borderId="26" xfId="0" applyFont="1" applyFill="1" applyBorder="1" applyAlignment="1" applyProtection="1">
      <alignment horizontal="center"/>
      <protection locked="0"/>
    </xf>
    <xf numFmtId="0" fontId="6" fillId="39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9" fontId="6" fillId="0" borderId="0" xfId="0" applyNumberFormat="1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204" fontId="17" fillId="40" borderId="0" xfId="0" applyNumberFormat="1" applyFont="1" applyFill="1" applyBorder="1" applyAlignment="1">
      <alignment horizontal="left" vertical="center"/>
    </xf>
    <xf numFmtId="196" fontId="27" fillId="33" borderId="0" xfId="0" applyNumberFormat="1" applyFont="1" applyFill="1" applyBorder="1" applyAlignment="1">
      <alignment vertical="center"/>
    </xf>
    <xf numFmtId="2" fontId="28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1" fontId="8" fillId="33" borderId="52" xfId="0" applyNumberFormat="1" applyFont="1" applyFill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1" fontId="8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4" borderId="52" xfId="0" applyNumberFormat="1" applyFont="1" applyFill="1" applyBorder="1" applyAlignment="1">
      <alignment horizontal="center" vertical="center"/>
    </xf>
    <xf numFmtId="0" fontId="13" fillId="38" borderId="51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vertical="center"/>
    </xf>
    <xf numFmtId="0" fontId="8" fillId="37" borderId="45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13" fillId="38" borderId="18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3" fontId="6" fillId="34" borderId="46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199" fontId="6" fillId="34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199" fontId="6" fillId="34" borderId="27" xfId="0" applyNumberFormat="1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198" fontId="8" fillId="34" borderId="5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4" borderId="51" xfId="0" applyFont="1" applyFill="1" applyBorder="1" applyAlignment="1">
      <alignment vertical="center"/>
    </xf>
    <xf numFmtId="0" fontId="6" fillId="34" borderId="50" xfId="0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2" fontId="6" fillId="33" borderId="0" xfId="0" applyNumberFormat="1" applyFont="1" applyFill="1" applyAlignment="1">
      <alignment horizontal="center" vertical="center"/>
    </xf>
    <xf numFmtId="196" fontId="8" fillId="33" borderId="0" xfId="0" applyNumberFormat="1" applyFont="1" applyFill="1" applyAlignment="1">
      <alignment horizontal="center" vertical="center"/>
    </xf>
    <xf numFmtId="0" fontId="6" fillId="33" borderId="51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2" fontId="6" fillId="33" borderId="46" xfId="0" applyNumberFormat="1" applyFont="1" applyFill="1" applyBorder="1" applyAlignment="1">
      <alignment horizontal="center" vertical="center"/>
    </xf>
    <xf numFmtId="2" fontId="8" fillId="33" borderId="46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2" fontId="6" fillId="33" borderId="26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200" fontId="8" fillId="33" borderId="27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86" xfId="0" applyFont="1" applyFill="1" applyBorder="1" applyAlignment="1">
      <alignment vertical="center"/>
    </xf>
    <xf numFmtId="0" fontId="6" fillId="33" borderId="52" xfId="0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96" fontId="8" fillId="33" borderId="45" xfId="0" applyNumberFormat="1" applyFont="1" applyFill="1" applyBorder="1" applyAlignment="1">
      <alignment horizontal="center" vertical="center"/>
    </xf>
    <xf numFmtId="200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" fontId="17" fillId="34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Alignment="1">
      <alignment vertical="center"/>
    </xf>
    <xf numFmtId="2" fontId="8" fillId="41" borderId="46" xfId="0" applyNumberFormat="1" applyFont="1" applyFill="1" applyBorder="1" applyAlignment="1">
      <alignment horizontal="center" vertical="center"/>
    </xf>
    <xf numFmtId="2" fontId="8" fillId="41" borderId="27" xfId="0" applyNumberFormat="1" applyFont="1" applyFill="1" applyBorder="1" applyAlignment="1">
      <alignment horizontal="center" vertical="center"/>
    </xf>
    <xf numFmtId="2" fontId="8" fillId="41" borderId="45" xfId="0" applyNumberFormat="1" applyFont="1" applyFill="1" applyBorder="1" applyAlignment="1">
      <alignment horizontal="center" vertical="center"/>
    </xf>
    <xf numFmtId="0" fontId="8" fillId="41" borderId="45" xfId="0" applyFont="1" applyFill="1" applyBorder="1" applyAlignment="1">
      <alignment horizontal="center" vertical="center"/>
    </xf>
    <xf numFmtId="2" fontId="8" fillId="42" borderId="46" xfId="0" applyNumberFormat="1" applyFont="1" applyFill="1" applyBorder="1" applyAlignment="1">
      <alignment horizontal="center" vertical="center"/>
    </xf>
    <xf numFmtId="4" fontId="8" fillId="42" borderId="46" xfId="0" applyNumberFormat="1" applyFont="1" applyFill="1" applyBorder="1" applyAlignment="1">
      <alignment horizontal="center" vertical="center"/>
    </xf>
    <xf numFmtId="1" fontId="8" fillId="42" borderId="46" xfId="0" applyNumberFormat="1" applyFont="1" applyFill="1" applyBorder="1" applyAlignment="1">
      <alignment horizontal="center" vertical="center"/>
    </xf>
    <xf numFmtId="1" fontId="8" fillId="33" borderId="46" xfId="0" applyNumberFormat="1" applyFont="1" applyFill="1" applyBorder="1" applyAlignment="1">
      <alignment horizontal="center" vertical="center"/>
    </xf>
    <xf numFmtId="4" fontId="8" fillId="33" borderId="46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2" fontId="6" fillId="33" borderId="45" xfId="0" applyNumberFormat="1" applyFont="1" applyFill="1" applyBorder="1" applyAlignment="1">
      <alignment horizontal="center" vertical="center"/>
    </xf>
    <xf numFmtId="4" fontId="8" fillId="33" borderId="45" xfId="0" applyNumberFormat="1" applyFont="1" applyFill="1" applyBorder="1" applyAlignment="1">
      <alignment horizontal="center" vertical="center"/>
    </xf>
    <xf numFmtId="2" fontId="8" fillId="33" borderId="50" xfId="0" applyNumberFormat="1" applyFont="1" applyFill="1" applyBorder="1" applyAlignment="1">
      <alignment horizontal="center" vertical="center"/>
    </xf>
    <xf numFmtId="2" fontId="8" fillId="41" borderId="50" xfId="0" applyNumberFormat="1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2" fontId="0" fillId="33" borderId="46" xfId="0" applyNumberFormat="1" applyFill="1" applyBorder="1" applyAlignment="1">
      <alignment horizontal="center" vertical="center"/>
    </xf>
    <xf numFmtId="1" fontId="0" fillId="33" borderId="3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2" fontId="0" fillId="33" borderId="26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2" fontId="26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vertical="center"/>
    </xf>
    <xf numFmtId="2" fontId="6" fillId="33" borderId="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00" fontId="6" fillId="33" borderId="46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00" fontId="6" fillId="33" borderId="26" xfId="0" applyNumberFormat="1" applyFont="1" applyFill="1" applyBorder="1" applyAlignment="1">
      <alignment horizontal="center" vertical="center"/>
    </xf>
    <xf numFmtId="200" fontId="6" fillId="33" borderId="27" xfId="0" applyNumberFormat="1" applyFont="1" applyFill="1" applyBorder="1" applyAlignment="1">
      <alignment horizontal="center" vertical="center"/>
    </xf>
    <xf numFmtId="0" fontId="6" fillId="43" borderId="45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204" fontId="8" fillId="33" borderId="27" xfId="0" applyNumberFormat="1" applyFont="1" applyFill="1" applyBorder="1" applyAlignment="1">
      <alignment horizontal="center" vertical="center"/>
    </xf>
    <xf numFmtId="2" fontId="13" fillId="33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29" fillId="44" borderId="27" xfId="0" applyFont="1" applyFill="1" applyBorder="1" applyAlignment="1">
      <alignment horizontal="center"/>
    </xf>
    <xf numFmtId="207" fontId="6" fillId="33" borderId="45" xfId="0" applyNumberFormat="1" applyFont="1" applyFill="1" applyBorder="1" applyAlignment="1" applyProtection="1">
      <alignment horizontal="center"/>
      <protection/>
    </xf>
    <xf numFmtId="0" fontId="7" fillId="33" borderId="45" xfId="0" applyFont="1" applyFill="1" applyBorder="1" applyAlignment="1">
      <alignment horizontal="right" vertical="center"/>
    </xf>
    <xf numFmtId="2" fontId="7" fillId="33" borderId="45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8" borderId="81" xfId="0" applyFont="1" applyFill="1" applyBorder="1" applyAlignment="1">
      <alignment horizontal="right"/>
    </xf>
    <xf numFmtId="0" fontId="8" fillId="38" borderId="82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right"/>
    </xf>
    <xf numFmtId="0" fontId="8" fillId="38" borderId="77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center"/>
    </xf>
    <xf numFmtId="0" fontId="17" fillId="0" borderId="86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3" fontId="8" fillId="0" borderId="87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 horizontal="center"/>
    </xf>
    <xf numFmtId="9" fontId="13" fillId="34" borderId="65" xfId="0" applyNumberFormat="1" applyFont="1" applyFill="1" applyBorder="1" applyAlignment="1">
      <alignment horizontal="center"/>
    </xf>
    <xf numFmtId="9" fontId="13" fillId="34" borderId="25" xfId="0" applyNumberFormat="1" applyFont="1" applyFill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1" fontId="8" fillId="34" borderId="86" xfId="0" applyNumberFormat="1" applyFont="1" applyFill="1" applyBorder="1" applyAlignment="1">
      <alignment horizontal="center"/>
    </xf>
    <xf numFmtId="1" fontId="8" fillId="34" borderId="5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13" fillId="34" borderId="29" xfId="0" applyNumberFormat="1" applyFont="1" applyFill="1" applyBorder="1" applyAlignment="1">
      <alignment horizontal="center"/>
    </xf>
    <xf numFmtId="1" fontId="13" fillId="34" borderId="53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2" fontId="8" fillId="34" borderId="51" xfId="0" applyNumberFormat="1" applyFont="1" applyFill="1" applyBorder="1" applyAlignment="1">
      <alignment horizontal="center"/>
    </xf>
    <xf numFmtId="2" fontId="8" fillId="34" borderId="94" xfId="0" applyNumberFormat="1" applyFont="1" applyFill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8" fillId="33" borderId="29" xfId="0" applyNumberFormat="1" applyFont="1" applyFill="1" applyBorder="1" applyAlignment="1">
      <alignment horizontal="center"/>
    </xf>
    <xf numFmtId="2" fontId="8" fillId="33" borderId="97" xfId="0" applyNumberFormat="1" applyFont="1" applyFill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 horizontal="center"/>
    </xf>
    <xf numFmtId="3" fontId="13" fillId="0" borderId="98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8" borderId="99" xfId="0" applyFont="1" applyFill="1" applyBorder="1" applyAlignment="1">
      <alignment horizontal="center" vertical="center"/>
    </xf>
    <xf numFmtId="0" fontId="8" fillId="38" borderId="100" xfId="0" applyFont="1" applyFill="1" applyBorder="1" applyAlignment="1">
      <alignment horizontal="center" vertical="center"/>
    </xf>
    <xf numFmtId="0" fontId="8" fillId="38" borderId="7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" fontId="6" fillId="37" borderId="18" xfId="0" applyNumberFormat="1" applyFont="1" applyFill="1" applyBorder="1" applyAlignment="1" applyProtection="1">
      <alignment horizontal="center" vertical="center"/>
      <protection locked="0"/>
    </xf>
    <xf numFmtId="4" fontId="6" fillId="37" borderId="12" xfId="0" applyNumberFormat="1" applyFont="1" applyFill="1" applyBorder="1" applyAlignment="1" applyProtection="1">
      <alignment horizontal="center" vertical="center"/>
      <protection locked="0"/>
    </xf>
    <xf numFmtId="199" fontId="6" fillId="37" borderId="18" xfId="0" applyNumberFormat="1" applyFont="1" applyFill="1" applyBorder="1" applyAlignment="1" applyProtection="1">
      <alignment horizontal="center" vertical="center"/>
      <protection locked="0"/>
    </xf>
    <xf numFmtId="199" fontId="6" fillId="37" borderId="12" xfId="0" applyNumberFormat="1" applyFont="1" applyFill="1" applyBorder="1" applyAlignment="1" applyProtection="1">
      <alignment horizontal="center" vertical="center"/>
      <protection locked="0"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2" fontId="8" fillId="33" borderId="86" xfId="0" applyNumberFormat="1" applyFont="1" applyFill="1" applyBorder="1" applyAlignment="1">
      <alignment horizontal="center" vertical="center"/>
    </xf>
    <xf numFmtId="2" fontId="8" fillId="33" borderId="52" xfId="0" applyNumberFormat="1" applyFont="1" applyFill="1" applyBorder="1" applyAlignment="1">
      <alignment horizontal="center" vertical="center"/>
    </xf>
    <xf numFmtId="2" fontId="6" fillId="33" borderId="49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17" fillId="34" borderId="46" xfId="0" applyNumberFormat="1" applyFont="1" applyFill="1" applyBorder="1" applyAlignment="1">
      <alignment horizontal="center" vertical="center"/>
    </xf>
    <xf numFmtId="2" fontId="17" fillId="34" borderId="27" xfId="0" applyNumberFormat="1" applyFont="1" applyFill="1" applyBorder="1" applyAlignment="1">
      <alignment horizontal="center" vertical="center"/>
    </xf>
    <xf numFmtId="2" fontId="8" fillId="41" borderId="86" xfId="0" applyNumberFormat="1" applyFont="1" applyFill="1" applyBorder="1" applyAlignment="1">
      <alignment horizontal="center" vertical="center"/>
    </xf>
    <xf numFmtId="2" fontId="8" fillId="41" borderId="52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4" fontId="8" fillId="33" borderId="51" xfId="0" applyNumberFormat="1" applyFont="1" applyFill="1" applyBorder="1" applyAlignment="1">
      <alignment horizontal="center" vertical="center"/>
    </xf>
    <xf numFmtId="4" fontId="8" fillId="33" borderId="35" xfId="0" applyNumberFormat="1" applyFont="1" applyFill="1" applyBorder="1" applyAlignment="1">
      <alignment horizontal="center" vertical="center"/>
    </xf>
    <xf numFmtId="4" fontId="8" fillId="33" borderId="5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7" borderId="49" xfId="0" applyNumberFormat="1" applyFont="1" applyFill="1" applyBorder="1" applyAlignment="1" applyProtection="1">
      <alignment horizontal="center" vertical="center"/>
      <protection locked="0"/>
    </xf>
    <xf numFmtId="4" fontId="6" fillId="37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86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6" fillId="38" borderId="86" xfId="0" applyFont="1" applyFill="1" applyBorder="1" applyAlignment="1">
      <alignment horizontal="center" vertical="center"/>
    </xf>
    <xf numFmtId="0" fontId="6" fillId="38" borderId="52" xfId="0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52" xfId="0" applyNumberFormat="1" applyFont="1" applyFill="1" applyBorder="1" applyAlignment="1">
      <alignment horizontal="center" vertical="center"/>
    </xf>
    <xf numFmtId="3" fontId="6" fillId="37" borderId="51" xfId="0" applyNumberFormat="1" applyFont="1" applyFill="1" applyBorder="1" applyAlignment="1" applyProtection="1">
      <alignment horizontal="center" vertical="center"/>
      <protection locked="0"/>
    </xf>
    <xf numFmtId="3" fontId="6" fillId="37" borderId="50" xfId="0" applyNumberFormat="1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86" xfId="0" applyFont="1" applyFill="1" applyBorder="1" applyAlignment="1" applyProtection="1">
      <alignment horizontal="center" vertical="center"/>
      <protection locked="0"/>
    </xf>
    <xf numFmtId="0" fontId="8" fillId="34" borderId="52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3" fontId="6" fillId="37" borderId="49" xfId="0" applyNumberFormat="1" applyFont="1" applyFill="1" applyBorder="1" applyAlignment="1" applyProtection="1">
      <alignment horizontal="center" vertical="center"/>
      <protection locked="0"/>
    </xf>
    <xf numFmtId="3" fontId="6" fillId="37" borderId="11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41" borderId="46" xfId="0" applyNumberFormat="1" applyFont="1" applyFill="1" applyBorder="1" applyAlignment="1">
      <alignment horizontal="center" vertical="center"/>
    </xf>
    <xf numFmtId="2" fontId="8" fillId="41" borderId="27" xfId="0" applyNumberFormat="1" applyFont="1" applyFill="1" applyBorder="1" applyAlignment="1">
      <alignment horizontal="center" vertical="center"/>
    </xf>
    <xf numFmtId="4" fontId="6" fillId="0" borderId="101" xfId="0" applyNumberFormat="1" applyFont="1" applyBorder="1" applyAlignment="1">
      <alignment horizontal="center"/>
    </xf>
    <xf numFmtId="4" fontId="6" fillId="0" borderId="68" xfId="0" applyNumberFormat="1" applyFont="1" applyBorder="1" applyAlignment="1">
      <alignment horizontal="center"/>
    </xf>
    <xf numFmtId="4" fontId="6" fillId="0" borderId="10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6" fillId="0" borderId="105" xfId="0" applyNumberFormat="1" applyFont="1" applyBorder="1" applyAlignment="1">
      <alignment horizontal="center"/>
    </xf>
    <xf numFmtId="4" fontId="6" fillId="0" borderId="106" xfId="0" applyNumberFormat="1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5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1" fontId="8" fillId="35" borderId="29" xfId="0" applyNumberFormat="1" applyFont="1" applyFill="1" applyBorder="1" applyAlignment="1">
      <alignment horizontal="center"/>
    </xf>
    <xf numFmtId="1" fontId="8" fillId="35" borderId="52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72" fillId="33" borderId="4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127</xdr:row>
      <xdr:rowOff>38100</xdr:rowOff>
    </xdr:from>
    <xdr:to>
      <xdr:col>2</xdr:col>
      <xdr:colOff>476250</xdr:colOff>
      <xdr:row>128</xdr:row>
      <xdr:rowOff>114300</xdr:rowOff>
    </xdr:to>
    <xdr:sp>
      <xdr:nvSpPr>
        <xdr:cNvPr id="1" name="AutoShape 181"/>
        <xdr:cNvSpPr>
          <a:spLocks/>
        </xdr:cNvSpPr>
      </xdr:nvSpPr>
      <xdr:spPr>
        <a:xfrm>
          <a:off x="1238250" y="20878800"/>
          <a:ext cx="333375" cy="238125"/>
        </a:xfrm>
        <a:prstGeom prst="downArrow">
          <a:avLst>
            <a:gd name="adj" fmla="val 1012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130</xdr:row>
      <xdr:rowOff>47625</xdr:rowOff>
    </xdr:from>
    <xdr:to>
      <xdr:col>3</xdr:col>
      <xdr:colOff>438150</xdr:colOff>
      <xdr:row>130</xdr:row>
      <xdr:rowOff>47625</xdr:rowOff>
    </xdr:to>
    <xdr:sp>
      <xdr:nvSpPr>
        <xdr:cNvPr id="2" name="Line 24"/>
        <xdr:cNvSpPr>
          <a:spLocks/>
        </xdr:cNvSpPr>
      </xdr:nvSpPr>
      <xdr:spPr>
        <a:xfrm>
          <a:off x="2000250" y="2138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130</xdr:row>
      <xdr:rowOff>57150</xdr:rowOff>
    </xdr:from>
    <xdr:to>
      <xdr:col>4</xdr:col>
      <xdr:colOff>371475</xdr:colOff>
      <xdr:row>130</xdr:row>
      <xdr:rowOff>57150</xdr:rowOff>
    </xdr:to>
    <xdr:sp>
      <xdr:nvSpPr>
        <xdr:cNvPr id="3" name="Line 27"/>
        <xdr:cNvSpPr>
          <a:spLocks/>
        </xdr:cNvSpPr>
      </xdr:nvSpPr>
      <xdr:spPr>
        <a:xfrm>
          <a:off x="2476500" y="2139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167</xdr:row>
      <xdr:rowOff>28575</xdr:rowOff>
    </xdr:from>
    <xdr:to>
      <xdr:col>3</xdr:col>
      <xdr:colOff>409575</xdr:colOff>
      <xdr:row>168</xdr:row>
      <xdr:rowOff>57150</xdr:rowOff>
    </xdr:to>
    <xdr:grpSp>
      <xdr:nvGrpSpPr>
        <xdr:cNvPr id="4" name="Group 38"/>
        <xdr:cNvGrpSpPr>
          <a:grpSpLocks/>
        </xdr:cNvGrpSpPr>
      </xdr:nvGrpSpPr>
      <xdr:grpSpPr>
        <a:xfrm>
          <a:off x="1657350" y="27422475"/>
          <a:ext cx="390525" cy="190500"/>
          <a:chOff x="136" y="1342"/>
          <a:chExt cx="41" cy="20"/>
        </a:xfrm>
        <a:solidFill>
          <a:srgbClr val="FFFFFF"/>
        </a:solidFill>
      </xdr:grpSpPr>
      <xdr:sp>
        <xdr:nvSpPr>
          <xdr:cNvPr id="5" name="Line 30"/>
          <xdr:cNvSpPr>
            <a:spLocks/>
          </xdr:cNvSpPr>
        </xdr:nvSpPr>
        <xdr:spPr>
          <a:xfrm>
            <a:off x="136" y="134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1"/>
          <xdr:cNvSpPr>
            <a:spLocks/>
          </xdr:cNvSpPr>
        </xdr:nvSpPr>
        <xdr:spPr>
          <a:xfrm>
            <a:off x="169" y="136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177</xdr:row>
      <xdr:rowOff>28575</xdr:rowOff>
    </xdr:from>
    <xdr:to>
      <xdr:col>5</xdr:col>
      <xdr:colOff>0</xdr:colOff>
      <xdr:row>177</xdr:row>
      <xdr:rowOff>28575</xdr:rowOff>
    </xdr:to>
    <xdr:sp>
      <xdr:nvSpPr>
        <xdr:cNvPr id="7" name="Line 35"/>
        <xdr:cNvSpPr>
          <a:spLocks/>
        </xdr:cNvSpPr>
      </xdr:nvSpPr>
      <xdr:spPr>
        <a:xfrm>
          <a:off x="2724150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93</xdr:row>
      <xdr:rowOff>152400</xdr:rowOff>
    </xdr:from>
    <xdr:to>
      <xdr:col>7</xdr:col>
      <xdr:colOff>38100</xdr:colOff>
      <xdr:row>97</xdr:row>
      <xdr:rowOff>57150</xdr:rowOff>
    </xdr:to>
    <xdr:grpSp>
      <xdr:nvGrpSpPr>
        <xdr:cNvPr id="8" name="Group 56"/>
        <xdr:cNvGrpSpPr>
          <a:grpSpLocks/>
        </xdr:cNvGrpSpPr>
      </xdr:nvGrpSpPr>
      <xdr:grpSpPr>
        <a:xfrm>
          <a:off x="1190625" y="15440025"/>
          <a:ext cx="2676525" cy="552450"/>
          <a:chOff x="634" y="1430"/>
          <a:chExt cx="250" cy="58"/>
        </a:xfrm>
        <a:solidFill>
          <a:srgbClr val="FFFFFF"/>
        </a:solidFill>
      </xdr:grpSpPr>
      <xdr:sp>
        <xdr:nvSpPr>
          <xdr:cNvPr id="9" name="Line 57"/>
          <xdr:cNvSpPr>
            <a:spLocks/>
          </xdr:cNvSpPr>
        </xdr:nvSpPr>
        <xdr:spPr>
          <a:xfrm>
            <a:off x="681" y="1453"/>
            <a:ext cx="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8"/>
          <xdr:cNvSpPr>
            <a:spLocks/>
          </xdr:cNvSpPr>
        </xdr:nvSpPr>
        <xdr:spPr>
          <a:xfrm flipV="1">
            <a:off x="684" y="1431"/>
            <a:ext cx="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9"/>
          <xdr:cNvSpPr>
            <a:spLocks/>
          </xdr:cNvSpPr>
        </xdr:nvSpPr>
        <xdr:spPr>
          <a:xfrm flipV="1">
            <a:off x="691" y="1430"/>
            <a:ext cx="1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0"/>
          <xdr:cNvSpPr>
            <a:spLocks/>
          </xdr:cNvSpPr>
        </xdr:nvSpPr>
        <xdr:spPr>
          <a:xfrm>
            <a:off x="881" y="1430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1"/>
          <xdr:cNvSpPr>
            <a:spLocks/>
          </xdr:cNvSpPr>
        </xdr:nvSpPr>
        <xdr:spPr>
          <a:xfrm>
            <a:off x="695" y="1459"/>
            <a:ext cx="1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62"/>
          <xdr:cNvSpPr txBox="1">
            <a:spLocks noChangeArrowheads="1"/>
          </xdr:cNvSpPr>
        </xdr:nvSpPr>
        <xdr:spPr>
          <a:xfrm>
            <a:off x="745" y="1462"/>
            <a:ext cx="8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+ 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- 2
</a:t>
            </a:r>
          </a:p>
        </xdr:txBody>
      </xdr:sp>
      <xdr:sp>
        <xdr:nvSpPr>
          <xdr:cNvPr id="15" name="Text Box 63"/>
          <xdr:cNvSpPr txBox="1">
            <a:spLocks noChangeArrowheads="1"/>
          </xdr:cNvSpPr>
        </xdr:nvSpPr>
        <xdr:spPr>
          <a:xfrm>
            <a:off x="694" y="1432"/>
            <a:ext cx="184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–  1)(V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)²   +   (n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–  1)(V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)²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6" name="Text Box 64"/>
          <xdr:cNvSpPr txBox="1">
            <a:spLocks noChangeArrowheads="1"/>
          </xdr:cNvSpPr>
        </xdr:nvSpPr>
        <xdr:spPr>
          <a:xfrm>
            <a:off x="634" y="1448"/>
            <a:ext cx="4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
</a:t>
            </a:r>
          </a:p>
        </xdr:txBody>
      </xdr:sp>
      <xdr:sp>
        <xdr:nvSpPr>
          <xdr:cNvPr id="17" name="Line 65"/>
          <xdr:cNvSpPr>
            <a:spLocks/>
          </xdr:cNvSpPr>
        </xdr:nvSpPr>
        <xdr:spPr>
          <a:xfrm>
            <a:off x="643" y="1453"/>
            <a:ext cx="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130</xdr:row>
      <xdr:rowOff>57150</xdr:rowOff>
    </xdr:from>
    <xdr:to>
      <xdr:col>5</xdr:col>
      <xdr:colOff>0</xdr:colOff>
      <xdr:row>130</xdr:row>
      <xdr:rowOff>57150</xdr:rowOff>
    </xdr:to>
    <xdr:sp>
      <xdr:nvSpPr>
        <xdr:cNvPr id="18" name="Line 99"/>
        <xdr:cNvSpPr>
          <a:spLocks/>
        </xdr:cNvSpPr>
      </xdr:nvSpPr>
      <xdr:spPr>
        <a:xfrm>
          <a:off x="272415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130</xdr:row>
      <xdr:rowOff>47625</xdr:rowOff>
    </xdr:from>
    <xdr:to>
      <xdr:col>9</xdr:col>
      <xdr:colOff>438150</xdr:colOff>
      <xdr:row>130</xdr:row>
      <xdr:rowOff>47625</xdr:rowOff>
    </xdr:to>
    <xdr:sp>
      <xdr:nvSpPr>
        <xdr:cNvPr id="19" name="Line 103"/>
        <xdr:cNvSpPr>
          <a:spLocks/>
        </xdr:cNvSpPr>
      </xdr:nvSpPr>
      <xdr:spPr>
        <a:xfrm>
          <a:off x="5276850" y="2138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130</xdr:row>
      <xdr:rowOff>57150</xdr:rowOff>
    </xdr:from>
    <xdr:to>
      <xdr:col>10</xdr:col>
      <xdr:colOff>371475</xdr:colOff>
      <xdr:row>130</xdr:row>
      <xdr:rowOff>57150</xdr:rowOff>
    </xdr:to>
    <xdr:sp>
      <xdr:nvSpPr>
        <xdr:cNvPr id="20" name="Line 104"/>
        <xdr:cNvSpPr>
          <a:spLocks/>
        </xdr:cNvSpPr>
      </xdr:nvSpPr>
      <xdr:spPr>
        <a:xfrm>
          <a:off x="5753100" y="2139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167</xdr:row>
      <xdr:rowOff>28575</xdr:rowOff>
    </xdr:from>
    <xdr:to>
      <xdr:col>9</xdr:col>
      <xdr:colOff>95250</xdr:colOff>
      <xdr:row>167</xdr:row>
      <xdr:rowOff>28575</xdr:rowOff>
    </xdr:to>
    <xdr:sp>
      <xdr:nvSpPr>
        <xdr:cNvPr id="21" name="Line 105"/>
        <xdr:cNvSpPr>
          <a:spLocks/>
        </xdr:cNvSpPr>
      </xdr:nvSpPr>
      <xdr:spPr>
        <a:xfrm>
          <a:off x="4933950" y="27422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168</xdr:row>
      <xdr:rowOff>57150</xdr:rowOff>
    </xdr:from>
    <xdr:to>
      <xdr:col>9</xdr:col>
      <xdr:colOff>409575</xdr:colOff>
      <xdr:row>168</xdr:row>
      <xdr:rowOff>57150</xdr:rowOff>
    </xdr:to>
    <xdr:sp>
      <xdr:nvSpPr>
        <xdr:cNvPr id="22" name="Line 106"/>
        <xdr:cNvSpPr>
          <a:spLocks/>
        </xdr:cNvSpPr>
      </xdr:nvSpPr>
      <xdr:spPr>
        <a:xfrm>
          <a:off x="5248275" y="27612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22</xdr:row>
      <xdr:rowOff>142875</xdr:rowOff>
    </xdr:from>
    <xdr:to>
      <xdr:col>5</xdr:col>
      <xdr:colOff>85725</xdr:colOff>
      <xdr:row>26</xdr:row>
      <xdr:rowOff>47625</xdr:rowOff>
    </xdr:to>
    <xdr:grpSp>
      <xdr:nvGrpSpPr>
        <xdr:cNvPr id="23" name="Group 119"/>
        <xdr:cNvGrpSpPr>
          <a:grpSpLocks/>
        </xdr:cNvGrpSpPr>
      </xdr:nvGrpSpPr>
      <xdr:grpSpPr>
        <a:xfrm>
          <a:off x="1028700" y="3876675"/>
          <a:ext cx="1781175" cy="552450"/>
          <a:chOff x="185" y="398"/>
          <a:chExt cx="187" cy="58"/>
        </a:xfrm>
        <a:solidFill>
          <a:srgbClr val="FFFFFF"/>
        </a:solidFill>
      </xdr:grpSpPr>
      <xdr:sp>
        <xdr:nvSpPr>
          <xdr:cNvPr id="24" name="Line 109"/>
          <xdr:cNvSpPr>
            <a:spLocks/>
          </xdr:cNvSpPr>
        </xdr:nvSpPr>
        <xdr:spPr>
          <a:xfrm>
            <a:off x="244" y="421"/>
            <a:ext cx="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10"/>
          <xdr:cNvSpPr>
            <a:spLocks/>
          </xdr:cNvSpPr>
        </xdr:nvSpPr>
        <xdr:spPr>
          <a:xfrm flipV="1">
            <a:off x="247" y="399"/>
            <a:ext cx="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11"/>
          <xdr:cNvSpPr>
            <a:spLocks/>
          </xdr:cNvSpPr>
        </xdr:nvSpPr>
        <xdr:spPr>
          <a:xfrm flipV="1">
            <a:off x="254" y="398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12"/>
          <xdr:cNvSpPr>
            <a:spLocks/>
          </xdr:cNvSpPr>
        </xdr:nvSpPr>
        <xdr:spPr>
          <a:xfrm>
            <a:off x="369" y="398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13"/>
          <xdr:cNvSpPr>
            <a:spLocks/>
          </xdr:cNvSpPr>
        </xdr:nvSpPr>
        <xdr:spPr>
          <a:xfrm>
            <a:off x="258" y="42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114"/>
          <xdr:cNvSpPr txBox="1">
            <a:spLocks noChangeArrowheads="1"/>
          </xdr:cNvSpPr>
        </xdr:nvSpPr>
        <xdr:spPr>
          <a:xfrm>
            <a:off x="274" y="430"/>
            <a:ext cx="6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n   - 1)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0" name="Text Box 115"/>
          <xdr:cNvSpPr txBox="1">
            <a:spLocks noChangeArrowheads="1"/>
          </xdr:cNvSpPr>
        </xdr:nvSpPr>
        <xdr:spPr>
          <a:xfrm>
            <a:off x="257" y="401"/>
            <a:ext cx="106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(  Xi  -  X ) ²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1" name="Text Box 116"/>
          <xdr:cNvSpPr txBox="1">
            <a:spLocks noChangeArrowheads="1"/>
          </xdr:cNvSpPr>
        </xdr:nvSpPr>
        <xdr:spPr>
          <a:xfrm>
            <a:off x="185" y="415"/>
            <a:ext cx="49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DS=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" name="Line 118"/>
          <xdr:cNvSpPr>
            <a:spLocks/>
          </xdr:cNvSpPr>
        </xdr:nvSpPr>
        <xdr:spPr>
          <a:xfrm>
            <a:off x="324" y="406"/>
            <a:ext cx="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31</xdr:row>
      <xdr:rowOff>123825</xdr:rowOff>
    </xdr:from>
    <xdr:to>
      <xdr:col>6</xdr:col>
      <xdr:colOff>219075</xdr:colOff>
      <xdr:row>35</xdr:row>
      <xdr:rowOff>28575</xdr:rowOff>
    </xdr:to>
    <xdr:grpSp>
      <xdr:nvGrpSpPr>
        <xdr:cNvPr id="33" name="Group 120"/>
        <xdr:cNvGrpSpPr>
          <a:grpSpLocks/>
        </xdr:cNvGrpSpPr>
      </xdr:nvGrpSpPr>
      <xdr:grpSpPr>
        <a:xfrm>
          <a:off x="962025" y="5353050"/>
          <a:ext cx="2524125" cy="552450"/>
          <a:chOff x="634" y="1430"/>
          <a:chExt cx="250" cy="58"/>
        </a:xfrm>
        <a:solidFill>
          <a:srgbClr val="FFFFFF"/>
        </a:solidFill>
      </xdr:grpSpPr>
      <xdr:sp>
        <xdr:nvSpPr>
          <xdr:cNvPr id="34" name="Line 121"/>
          <xdr:cNvSpPr>
            <a:spLocks/>
          </xdr:cNvSpPr>
        </xdr:nvSpPr>
        <xdr:spPr>
          <a:xfrm>
            <a:off x="681" y="1453"/>
            <a:ext cx="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22"/>
          <xdr:cNvSpPr>
            <a:spLocks/>
          </xdr:cNvSpPr>
        </xdr:nvSpPr>
        <xdr:spPr>
          <a:xfrm flipV="1">
            <a:off x="684" y="1431"/>
            <a:ext cx="6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3"/>
          <xdr:cNvSpPr>
            <a:spLocks/>
          </xdr:cNvSpPr>
        </xdr:nvSpPr>
        <xdr:spPr>
          <a:xfrm flipV="1">
            <a:off x="691" y="1430"/>
            <a:ext cx="1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24"/>
          <xdr:cNvSpPr>
            <a:spLocks/>
          </xdr:cNvSpPr>
        </xdr:nvSpPr>
        <xdr:spPr>
          <a:xfrm>
            <a:off x="881" y="1430"/>
            <a:ext cx="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25"/>
          <xdr:cNvSpPr>
            <a:spLocks/>
          </xdr:cNvSpPr>
        </xdr:nvSpPr>
        <xdr:spPr>
          <a:xfrm>
            <a:off x="695" y="1459"/>
            <a:ext cx="1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26"/>
          <xdr:cNvSpPr txBox="1">
            <a:spLocks noChangeArrowheads="1"/>
          </xdr:cNvSpPr>
        </xdr:nvSpPr>
        <xdr:spPr>
          <a:xfrm>
            <a:off x="745" y="1462"/>
            <a:ext cx="8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n1  + n2  - 2
</a:t>
            </a:r>
          </a:p>
        </xdr:txBody>
      </xdr:sp>
      <xdr:sp>
        <xdr:nvSpPr>
          <xdr:cNvPr id="40" name="Text Box 127"/>
          <xdr:cNvSpPr txBox="1">
            <a:spLocks noChangeArrowheads="1"/>
          </xdr:cNvSpPr>
        </xdr:nvSpPr>
        <xdr:spPr>
          <a:xfrm>
            <a:off x="694" y="1432"/>
            <a:ext cx="184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n1  –  1)(S1)²   +   (n2  –  1)(S2)²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1" name="Text Box 128"/>
          <xdr:cNvSpPr txBox="1">
            <a:spLocks noChangeArrowheads="1"/>
          </xdr:cNvSpPr>
        </xdr:nvSpPr>
        <xdr:spPr>
          <a:xfrm>
            <a:off x="634" y="1448"/>
            <a:ext cx="4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DS=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2" name="Line 129"/>
          <xdr:cNvSpPr>
            <a:spLocks/>
          </xdr:cNvSpPr>
        </xdr:nvSpPr>
        <xdr:spPr>
          <a:xfrm>
            <a:off x="643" y="1453"/>
            <a:ext cx="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66</xdr:row>
      <xdr:rowOff>47625</xdr:rowOff>
    </xdr:from>
    <xdr:to>
      <xdr:col>5</xdr:col>
      <xdr:colOff>523875</xdr:colOff>
      <xdr:row>70</xdr:row>
      <xdr:rowOff>152400</xdr:rowOff>
    </xdr:to>
    <xdr:grpSp>
      <xdr:nvGrpSpPr>
        <xdr:cNvPr id="43" name="Group 130"/>
        <xdr:cNvGrpSpPr>
          <a:grpSpLocks/>
        </xdr:cNvGrpSpPr>
      </xdr:nvGrpSpPr>
      <xdr:grpSpPr>
        <a:xfrm>
          <a:off x="1085850" y="10944225"/>
          <a:ext cx="2162175" cy="752475"/>
          <a:chOff x="67" y="680"/>
          <a:chExt cx="174" cy="60"/>
        </a:xfrm>
        <a:solidFill>
          <a:srgbClr val="FFFFFF"/>
        </a:solidFill>
      </xdr:grpSpPr>
      <xdr:sp>
        <xdr:nvSpPr>
          <xdr:cNvPr id="44" name="Text Box 131"/>
          <xdr:cNvSpPr txBox="1">
            <a:spLocks noChangeArrowheads="1"/>
          </xdr:cNvSpPr>
        </xdr:nvSpPr>
        <xdr:spPr>
          <a:xfrm>
            <a:off x="67" y="680"/>
            <a:ext cx="138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+1.34 DS</a:t>
            </a:r>
          </a:p>
        </xdr:txBody>
      </xdr:sp>
      <xdr:sp>
        <xdr:nvSpPr>
          <xdr:cNvPr id="45" name="Text Box 132"/>
          <xdr:cNvSpPr txBox="1">
            <a:spLocks noChangeArrowheads="1"/>
          </xdr:cNvSpPr>
        </xdr:nvSpPr>
        <xdr:spPr>
          <a:xfrm>
            <a:off x="67" y="706"/>
            <a:ext cx="17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 +  2.33 DS  - 35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8</xdr:col>
      <xdr:colOff>142875</xdr:colOff>
      <xdr:row>127</xdr:row>
      <xdr:rowOff>57150</xdr:rowOff>
    </xdr:from>
    <xdr:to>
      <xdr:col>8</xdr:col>
      <xdr:colOff>476250</xdr:colOff>
      <xdr:row>128</xdr:row>
      <xdr:rowOff>133350</xdr:rowOff>
    </xdr:to>
    <xdr:sp>
      <xdr:nvSpPr>
        <xdr:cNvPr id="46" name="AutoShape 182"/>
        <xdr:cNvSpPr>
          <a:spLocks/>
        </xdr:cNvSpPr>
      </xdr:nvSpPr>
      <xdr:spPr>
        <a:xfrm>
          <a:off x="4514850" y="20897850"/>
          <a:ext cx="333375" cy="238125"/>
        </a:xfrm>
        <a:prstGeom prst="downArrow">
          <a:avLst>
            <a:gd name="adj" fmla="val 1012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122</xdr:row>
      <xdr:rowOff>66675</xdr:rowOff>
    </xdr:from>
    <xdr:to>
      <xdr:col>5</xdr:col>
      <xdr:colOff>333375</xdr:colOff>
      <xdr:row>123</xdr:row>
      <xdr:rowOff>85725</xdr:rowOff>
    </xdr:to>
    <xdr:sp>
      <xdr:nvSpPr>
        <xdr:cNvPr id="47" name="Text Box 143"/>
        <xdr:cNvSpPr txBox="1">
          <a:spLocks noChangeArrowheads="1"/>
        </xdr:cNvSpPr>
      </xdr:nvSpPr>
      <xdr:spPr>
        <a:xfrm>
          <a:off x="1019175" y="20069175"/>
          <a:ext cx="2038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SITUACION DE DATOS DE REGISTRO</a:t>
          </a:r>
        </a:p>
      </xdr:txBody>
    </xdr:sp>
    <xdr:clientData/>
  </xdr:twoCellAnchor>
  <xdr:twoCellAnchor>
    <xdr:from>
      <xdr:col>5</xdr:col>
      <xdr:colOff>9525</xdr:colOff>
      <xdr:row>170</xdr:row>
      <xdr:rowOff>104775</xdr:rowOff>
    </xdr:from>
    <xdr:to>
      <xdr:col>5</xdr:col>
      <xdr:colOff>419100</xdr:colOff>
      <xdr:row>171</xdr:row>
      <xdr:rowOff>85725</xdr:rowOff>
    </xdr:to>
    <xdr:sp>
      <xdr:nvSpPr>
        <xdr:cNvPr id="48" name="AutoShape 193"/>
        <xdr:cNvSpPr>
          <a:spLocks/>
        </xdr:cNvSpPr>
      </xdr:nvSpPr>
      <xdr:spPr>
        <a:xfrm>
          <a:off x="2733675" y="28051125"/>
          <a:ext cx="409575" cy="152400"/>
        </a:xfrm>
        <a:prstGeom prst="leftArrow">
          <a:avLst>
            <a:gd name="adj" fmla="val -26560"/>
          </a:avLst>
        </a:prstGeom>
        <a:solidFill>
          <a:srgbClr val="C0C0C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170</xdr:row>
      <xdr:rowOff>85725</xdr:rowOff>
    </xdr:from>
    <xdr:to>
      <xdr:col>8</xdr:col>
      <xdr:colOff>514350</xdr:colOff>
      <xdr:row>171</xdr:row>
      <xdr:rowOff>66675</xdr:rowOff>
    </xdr:to>
    <xdr:sp>
      <xdr:nvSpPr>
        <xdr:cNvPr id="49" name="AutoShape 194"/>
        <xdr:cNvSpPr>
          <a:spLocks/>
        </xdr:cNvSpPr>
      </xdr:nvSpPr>
      <xdr:spPr>
        <a:xfrm rot="10800000">
          <a:off x="4476750" y="28032075"/>
          <a:ext cx="409575" cy="152400"/>
        </a:xfrm>
        <a:prstGeom prst="leftArrow">
          <a:avLst>
            <a:gd name="adj" fmla="val -2656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202</xdr:row>
      <xdr:rowOff>95250</xdr:rowOff>
    </xdr:from>
    <xdr:to>
      <xdr:col>5</xdr:col>
      <xdr:colOff>38100</xdr:colOff>
      <xdr:row>206</xdr:row>
      <xdr:rowOff>47625</xdr:rowOff>
    </xdr:to>
    <xdr:grpSp>
      <xdr:nvGrpSpPr>
        <xdr:cNvPr id="50" name="Group 572"/>
        <xdr:cNvGrpSpPr>
          <a:grpSpLocks/>
        </xdr:cNvGrpSpPr>
      </xdr:nvGrpSpPr>
      <xdr:grpSpPr>
        <a:xfrm>
          <a:off x="400050" y="33299400"/>
          <a:ext cx="2362200" cy="600075"/>
          <a:chOff x="30" y="3453"/>
          <a:chExt cx="235" cy="63"/>
        </a:xfrm>
        <a:solidFill>
          <a:srgbClr val="FFFFFF"/>
        </a:solidFill>
      </xdr:grpSpPr>
      <xdr:sp>
        <xdr:nvSpPr>
          <xdr:cNvPr id="51" name="Text Box 19"/>
          <xdr:cNvSpPr txBox="1">
            <a:spLocks noChangeArrowheads="1"/>
          </xdr:cNvSpPr>
        </xdr:nvSpPr>
        <xdr:spPr>
          <a:xfrm>
            <a:off x="30" y="3453"/>
            <a:ext cx="197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1-   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+ 1.34x DS</a:t>
            </a:r>
          </a:p>
        </xdr:txBody>
      </xdr:sp>
      <xdr:sp>
        <xdr:nvSpPr>
          <xdr:cNvPr id="52" name="Text Box 20"/>
          <xdr:cNvSpPr txBox="1">
            <a:spLocks noChangeArrowheads="1"/>
          </xdr:cNvSpPr>
        </xdr:nvSpPr>
        <xdr:spPr>
          <a:xfrm>
            <a:off x="30" y="3485"/>
            <a:ext cx="235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   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 +  2.33x DS  - 35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3" name="Rectangle 196"/>
          <xdr:cNvSpPr>
            <a:spLocks/>
          </xdr:cNvSpPr>
        </xdr:nvSpPr>
        <xdr:spPr>
          <a:xfrm>
            <a:off x="33" y="3456"/>
            <a:ext cx="229" cy="5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265</xdr:row>
      <xdr:rowOff>0</xdr:rowOff>
    </xdr:from>
    <xdr:to>
      <xdr:col>6</xdr:col>
      <xdr:colOff>0</xdr:colOff>
      <xdr:row>267</xdr:row>
      <xdr:rowOff>0</xdr:rowOff>
    </xdr:to>
    <xdr:sp>
      <xdr:nvSpPr>
        <xdr:cNvPr id="54" name="Rectangle 573"/>
        <xdr:cNvSpPr>
          <a:spLocks/>
        </xdr:cNvSpPr>
      </xdr:nvSpPr>
      <xdr:spPr>
        <a:xfrm>
          <a:off x="1095375" y="43472100"/>
          <a:ext cx="21717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120</xdr:row>
      <xdr:rowOff>142875</xdr:rowOff>
    </xdr:from>
    <xdr:to>
      <xdr:col>10</xdr:col>
      <xdr:colOff>428625</xdr:colOff>
      <xdr:row>121</xdr:row>
      <xdr:rowOff>152400</xdr:rowOff>
    </xdr:to>
    <xdr:sp>
      <xdr:nvSpPr>
        <xdr:cNvPr id="55" name="Text Box 585"/>
        <xdr:cNvSpPr txBox="1">
          <a:spLocks noChangeArrowheads="1"/>
        </xdr:cNvSpPr>
      </xdr:nvSpPr>
      <xdr:spPr>
        <a:xfrm>
          <a:off x="4524375" y="19812000"/>
          <a:ext cx="1362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CALIDAD DE CONCRETO</a:t>
          </a:r>
        </a:p>
      </xdr:txBody>
    </xdr:sp>
    <xdr:clientData/>
  </xdr:twoCellAnchor>
  <xdr:twoCellAnchor>
    <xdr:from>
      <xdr:col>6</xdr:col>
      <xdr:colOff>142875</xdr:colOff>
      <xdr:row>240</xdr:row>
      <xdr:rowOff>28575</xdr:rowOff>
    </xdr:from>
    <xdr:to>
      <xdr:col>9</xdr:col>
      <xdr:colOff>28575</xdr:colOff>
      <xdr:row>243</xdr:row>
      <xdr:rowOff>152400</xdr:rowOff>
    </xdr:to>
    <xdr:grpSp>
      <xdr:nvGrpSpPr>
        <xdr:cNvPr id="56" name="Group 44"/>
        <xdr:cNvGrpSpPr>
          <a:grpSpLocks/>
        </xdr:cNvGrpSpPr>
      </xdr:nvGrpSpPr>
      <xdr:grpSpPr>
        <a:xfrm>
          <a:off x="3409950" y="39423975"/>
          <a:ext cx="1533525" cy="619125"/>
          <a:chOff x="273" y="1736"/>
          <a:chExt cx="141" cy="59"/>
        </a:xfrm>
        <a:solidFill>
          <a:srgbClr val="FFFFFF"/>
        </a:solidFill>
      </xdr:grpSpPr>
      <xdr:sp>
        <xdr:nvSpPr>
          <xdr:cNvPr id="57" name="Text Box 40"/>
          <xdr:cNvSpPr txBox="1">
            <a:spLocks noChangeArrowheads="1"/>
          </xdr:cNvSpPr>
        </xdr:nvSpPr>
        <xdr:spPr>
          <a:xfrm>
            <a:off x="352" y="1736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 ´ c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f´c f´c </a:t>
            </a:r>
          </a:p>
        </xdr:txBody>
      </xdr:sp>
      <xdr:sp>
        <xdr:nvSpPr>
          <xdr:cNvPr id="58" name="Text Box 41"/>
          <xdr:cNvSpPr txBox="1">
            <a:spLocks noChangeArrowheads="1"/>
          </xdr:cNvSpPr>
        </xdr:nvSpPr>
        <xdr:spPr>
          <a:xfrm>
            <a:off x="336" y="1766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 -  t * V</a:t>
            </a:r>
          </a:p>
        </xdr:txBody>
      </xdr:sp>
      <xdr:sp>
        <xdr:nvSpPr>
          <xdr:cNvPr id="59" name="Text Box 42"/>
          <xdr:cNvSpPr txBox="1">
            <a:spLocks noChangeArrowheads="1"/>
          </xdr:cNvSpPr>
        </xdr:nvSpPr>
        <xdr:spPr>
          <a:xfrm>
            <a:off x="273" y="1750"/>
            <a:ext cx="7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=</a:t>
            </a:r>
          </a:p>
        </xdr:txBody>
      </xdr:sp>
      <xdr:sp>
        <xdr:nvSpPr>
          <xdr:cNvPr id="60" name="Line 43"/>
          <xdr:cNvSpPr>
            <a:spLocks/>
          </xdr:cNvSpPr>
        </xdr:nvSpPr>
        <xdr:spPr>
          <a:xfrm>
            <a:off x="331" y="1764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238</xdr:row>
      <xdr:rowOff>28575</xdr:rowOff>
    </xdr:from>
    <xdr:to>
      <xdr:col>7</xdr:col>
      <xdr:colOff>209550</xdr:colOff>
      <xdr:row>238</xdr:row>
      <xdr:rowOff>28575</xdr:rowOff>
    </xdr:to>
    <xdr:sp>
      <xdr:nvSpPr>
        <xdr:cNvPr id="61" name="Line 36"/>
        <xdr:cNvSpPr>
          <a:spLocks/>
        </xdr:cNvSpPr>
      </xdr:nvSpPr>
      <xdr:spPr>
        <a:xfrm>
          <a:off x="3962400" y="39100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101</xdr:row>
      <xdr:rowOff>104775</xdr:rowOff>
    </xdr:from>
    <xdr:to>
      <xdr:col>8</xdr:col>
      <xdr:colOff>238125</xdr:colOff>
      <xdr:row>105</xdr:row>
      <xdr:rowOff>76200</xdr:rowOff>
    </xdr:to>
    <xdr:grpSp>
      <xdr:nvGrpSpPr>
        <xdr:cNvPr id="62" name="Group 44"/>
        <xdr:cNvGrpSpPr>
          <a:grpSpLocks/>
        </xdr:cNvGrpSpPr>
      </xdr:nvGrpSpPr>
      <xdr:grpSpPr>
        <a:xfrm>
          <a:off x="3076575" y="16687800"/>
          <a:ext cx="1533525" cy="619125"/>
          <a:chOff x="273" y="1736"/>
          <a:chExt cx="141" cy="59"/>
        </a:xfrm>
        <a:solidFill>
          <a:srgbClr val="FFFFFF"/>
        </a:solidFill>
      </xdr:grpSpPr>
      <xdr:sp>
        <xdr:nvSpPr>
          <xdr:cNvPr id="63" name="Text Box 40"/>
          <xdr:cNvSpPr txBox="1">
            <a:spLocks noChangeArrowheads="1"/>
          </xdr:cNvSpPr>
        </xdr:nvSpPr>
        <xdr:spPr>
          <a:xfrm>
            <a:off x="352" y="1736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 ´ c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f´c f´c </a:t>
            </a:r>
          </a:p>
        </xdr:txBody>
      </xdr:sp>
      <xdr:sp>
        <xdr:nvSpPr>
          <xdr:cNvPr id="64" name="Text Box 41"/>
          <xdr:cNvSpPr txBox="1">
            <a:spLocks noChangeArrowheads="1"/>
          </xdr:cNvSpPr>
        </xdr:nvSpPr>
        <xdr:spPr>
          <a:xfrm>
            <a:off x="336" y="1766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 -  t * V</a:t>
            </a:r>
          </a:p>
        </xdr:txBody>
      </xdr:sp>
      <xdr:sp>
        <xdr:nvSpPr>
          <xdr:cNvPr id="65" name="Text Box 42"/>
          <xdr:cNvSpPr txBox="1">
            <a:spLocks noChangeArrowheads="1"/>
          </xdr:cNvSpPr>
        </xdr:nvSpPr>
        <xdr:spPr>
          <a:xfrm>
            <a:off x="273" y="1750"/>
            <a:ext cx="7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=</a:t>
            </a:r>
          </a:p>
        </xdr:txBody>
      </xdr:sp>
      <xdr:sp>
        <xdr:nvSpPr>
          <xdr:cNvPr id="66" name="Line 43"/>
          <xdr:cNvSpPr>
            <a:spLocks/>
          </xdr:cNvSpPr>
        </xdr:nvSpPr>
        <xdr:spPr>
          <a:xfrm>
            <a:off x="331" y="1764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117</xdr:row>
      <xdr:rowOff>47625</xdr:rowOff>
    </xdr:from>
    <xdr:to>
      <xdr:col>8</xdr:col>
      <xdr:colOff>190500</xdr:colOff>
      <xdr:row>118</xdr:row>
      <xdr:rowOff>85725</xdr:rowOff>
    </xdr:to>
    <xdr:sp>
      <xdr:nvSpPr>
        <xdr:cNvPr id="67" name="WordArt 1800"/>
        <xdr:cNvSpPr>
          <a:spLocks/>
        </xdr:cNvSpPr>
      </xdr:nvSpPr>
      <xdr:spPr>
        <a:xfrm>
          <a:off x="1685925" y="19221450"/>
          <a:ext cx="28765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>3-  PROCESAMIENTO DE DATOS</a:t>
          </a:r>
        </a:p>
      </xdr:txBody>
    </xdr:sp>
    <xdr:clientData/>
  </xdr:twoCellAnchor>
  <xdr:twoCellAnchor>
    <xdr:from>
      <xdr:col>2</xdr:col>
      <xdr:colOff>381000</xdr:colOff>
      <xdr:row>188</xdr:row>
      <xdr:rowOff>38100</xdr:rowOff>
    </xdr:from>
    <xdr:to>
      <xdr:col>7</xdr:col>
      <xdr:colOff>371475</xdr:colOff>
      <xdr:row>189</xdr:row>
      <xdr:rowOff>28575</xdr:rowOff>
    </xdr:to>
    <xdr:sp>
      <xdr:nvSpPr>
        <xdr:cNvPr id="68" name="WordArt 1801"/>
        <xdr:cNvSpPr>
          <a:spLocks/>
        </xdr:cNvSpPr>
      </xdr:nvSpPr>
      <xdr:spPr>
        <a:xfrm>
          <a:off x="1476375" y="30975300"/>
          <a:ext cx="27241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>4 -  RESISTENCIA REQUERIDA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15</xdr:row>
      <xdr:rowOff>9525</xdr:rowOff>
    </xdr:from>
    <xdr:to>
      <xdr:col>8</xdr:col>
      <xdr:colOff>171450</xdr:colOff>
      <xdr:row>16</xdr:row>
      <xdr:rowOff>133350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4019550" y="2628900"/>
          <a:ext cx="1028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ESPECIFICO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76200</xdr:colOff>
      <xdr:row>15</xdr:row>
      <xdr:rowOff>0</xdr:rowOff>
    </xdr:from>
    <xdr:to>
      <xdr:col>9</xdr:col>
      <xdr:colOff>676275</xdr:colOff>
      <xdr:row>16</xdr:row>
      <xdr:rowOff>142875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953000" y="2619375"/>
          <a:ext cx="1314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SUPERFICIE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ESPECIFICA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485775</xdr:colOff>
      <xdr:row>40</xdr:row>
      <xdr:rowOff>133350</xdr:rowOff>
    </xdr:from>
    <xdr:to>
      <xdr:col>4</xdr:col>
      <xdr:colOff>342900</xdr:colOff>
      <xdr:row>41</xdr:row>
      <xdr:rowOff>114300</xdr:rowOff>
    </xdr:to>
    <xdr:sp>
      <xdr:nvSpPr>
        <xdr:cNvPr id="3" name="Text Box 62"/>
        <xdr:cNvSpPr txBox="1">
          <a:spLocks noChangeArrowheads="1"/>
        </xdr:cNvSpPr>
      </xdr:nvSpPr>
      <xdr:spPr>
        <a:xfrm>
          <a:off x="1381125" y="7515225"/>
          <a:ext cx="1171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DE OBRA</a:t>
          </a:r>
        </a:p>
      </xdr:txBody>
    </xdr:sp>
    <xdr:clientData/>
  </xdr:twoCellAnchor>
  <xdr:twoCellAnchor>
    <xdr:from>
      <xdr:col>5</xdr:col>
      <xdr:colOff>371475</xdr:colOff>
      <xdr:row>40</xdr:row>
      <xdr:rowOff>19050</xdr:rowOff>
    </xdr:from>
    <xdr:to>
      <xdr:col>6</xdr:col>
      <xdr:colOff>561975</xdr:colOff>
      <xdr:row>41</xdr:row>
      <xdr:rowOff>142875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3162300" y="7400925"/>
          <a:ext cx="771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TAMAÑO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AGREGADO</a:t>
          </a:r>
        </a:p>
      </xdr:txBody>
    </xdr:sp>
    <xdr:clientData/>
  </xdr:twoCellAnchor>
  <xdr:twoCellAnchor>
    <xdr:from>
      <xdr:col>2</xdr:col>
      <xdr:colOff>142875</xdr:colOff>
      <xdr:row>35</xdr:row>
      <xdr:rowOff>133350</xdr:rowOff>
    </xdr:from>
    <xdr:to>
      <xdr:col>3</xdr:col>
      <xdr:colOff>552450</xdr:colOff>
      <xdr:row>36</xdr:row>
      <xdr:rowOff>123825</xdr:rowOff>
    </xdr:to>
    <xdr:sp>
      <xdr:nvSpPr>
        <xdr:cNvPr id="5" name="Text Box 65"/>
        <xdr:cNvSpPr txBox="1">
          <a:spLocks noChangeArrowheads="1"/>
        </xdr:cNvSpPr>
      </xdr:nvSpPr>
      <xdr:spPr>
        <a:xfrm>
          <a:off x="1038225" y="6553200"/>
          <a:ext cx="990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TRABAJABILIDAD</a:t>
          </a:r>
        </a:p>
      </xdr:txBody>
    </xdr:sp>
    <xdr:clientData/>
  </xdr:twoCellAnchor>
  <xdr:twoCellAnchor>
    <xdr:from>
      <xdr:col>4</xdr:col>
      <xdr:colOff>381000</xdr:colOff>
      <xdr:row>35</xdr:row>
      <xdr:rowOff>152400</xdr:rowOff>
    </xdr:from>
    <xdr:to>
      <xdr:col>6</xdr:col>
      <xdr:colOff>142875</xdr:colOff>
      <xdr:row>36</xdr:row>
      <xdr:rowOff>142875</xdr:rowOff>
    </xdr:to>
    <xdr:sp>
      <xdr:nvSpPr>
        <xdr:cNvPr id="6" name="Text Box 66"/>
        <xdr:cNvSpPr txBox="1">
          <a:spLocks noChangeArrowheads="1"/>
        </xdr:cNvSpPr>
      </xdr:nvSpPr>
      <xdr:spPr>
        <a:xfrm>
          <a:off x="2590800" y="6572250"/>
          <a:ext cx="923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COMPACTACION</a:t>
          </a:r>
        </a:p>
      </xdr:txBody>
    </xdr:sp>
    <xdr:clientData/>
  </xdr:twoCellAnchor>
  <xdr:twoCellAnchor>
    <xdr:from>
      <xdr:col>7</xdr:col>
      <xdr:colOff>66675</xdr:colOff>
      <xdr:row>35</xdr:row>
      <xdr:rowOff>152400</xdr:rowOff>
    </xdr:from>
    <xdr:to>
      <xdr:col>9</xdr:col>
      <xdr:colOff>314325</xdr:colOff>
      <xdr:row>36</xdr:row>
      <xdr:rowOff>142875</xdr:rowOff>
    </xdr:to>
    <xdr:sp>
      <xdr:nvSpPr>
        <xdr:cNvPr id="7" name="Text Box 67"/>
        <xdr:cNvSpPr txBox="1">
          <a:spLocks noChangeArrowheads="1"/>
        </xdr:cNvSpPr>
      </xdr:nvSpPr>
      <xdr:spPr>
        <a:xfrm>
          <a:off x="4229100" y="6572250"/>
          <a:ext cx="1676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CONSISTENCIA</a:t>
          </a:r>
        </a:p>
      </xdr:txBody>
    </xdr:sp>
    <xdr:clientData/>
  </xdr:twoCellAnchor>
  <xdr:twoCellAnchor>
    <xdr:from>
      <xdr:col>2</xdr:col>
      <xdr:colOff>561975</xdr:colOff>
      <xdr:row>15</xdr:row>
      <xdr:rowOff>133350</xdr:rowOff>
    </xdr:from>
    <xdr:to>
      <xdr:col>4</xdr:col>
      <xdr:colOff>47625</xdr:colOff>
      <xdr:row>16</xdr:row>
      <xdr:rowOff>133350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457325" y="2752725"/>
          <a:ext cx="800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CEMENTO</a:t>
          </a:r>
        </a:p>
      </xdr:txBody>
    </xdr:sp>
    <xdr:clientData/>
  </xdr:twoCellAnchor>
  <xdr:twoCellAnchor>
    <xdr:from>
      <xdr:col>5</xdr:col>
      <xdr:colOff>266700</xdr:colOff>
      <xdr:row>15</xdr:row>
      <xdr:rowOff>123825</xdr:rowOff>
    </xdr:from>
    <xdr:to>
      <xdr:col>6</xdr:col>
      <xdr:colOff>76200</xdr:colOff>
      <xdr:row>16</xdr:row>
      <xdr:rowOff>123825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3057525" y="2743200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</a:t>
          </a:r>
        </a:p>
      </xdr:txBody>
    </xdr:sp>
    <xdr:clientData/>
  </xdr:twoCellAnchor>
  <xdr:twoCellAnchor>
    <xdr:from>
      <xdr:col>4</xdr:col>
      <xdr:colOff>485775</xdr:colOff>
      <xdr:row>73</xdr:row>
      <xdr:rowOff>142875</xdr:rowOff>
    </xdr:from>
    <xdr:to>
      <xdr:col>5</xdr:col>
      <xdr:colOff>323850</xdr:colOff>
      <xdr:row>74</xdr:row>
      <xdr:rowOff>123825</xdr:rowOff>
    </xdr:to>
    <xdr:sp>
      <xdr:nvSpPr>
        <xdr:cNvPr id="10" name="10 Flecha derecha"/>
        <xdr:cNvSpPr>
          <a:spLocks/>
        </xdr:cNvSpPr>
      </xdr:nvSpPr>
      <xdr:spPr>
        <a:xfrm rot="19710869">
          <a:off x="2695575" y="13430250"/>
          <a:ext cx="419100" cy="142875"/>
        </a:xfrm>
        <a:prstGeom prst="rightArrow">
          <a:avLst>
            <a:gd name="adj" fmla="val 33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57150</xdr:rowOff>
    </xdr:from>
    <xdr:to>
      <xdr:col>3</xdr:col>
      <xdr:colOff>647700</xdr:colOff>
      <xdr:row>15</xdr:row>
      <xdr:rowOff>66675</xdr:rowOff>
    </xdr:to>
    <xdr:grpSp>
      <xdr:nvGrpSpPr>
        <xdr:cNvPr id="1" name="Group 7"/>
        <xdr:cNvGrpSpPr>
          <a:grpSpLocks/>
        </xdr:cNvGrpSpPr>
      </xdr:nvGrpSpPr>
      <xdr:grpSpPr>
        <a:xfrm>
          <a:off x="685800" y="1838325"/>
          <a:ext cx="1905000" cy="657225"/>
          <a:chOff x="71" y="181"/>
          <a:chExt cx="220" cy="6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4" y="190"/>
            <a:ext cx="17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+1.34 DS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4" y="216"/>
            <a:ext cx="217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f´c 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= f´c   +  2.33 DS  - 35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71" y="181"/>
            <a:ext cx="205" cy="69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Y\Desktop\DatosDise&#241;o%20Mezc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P"/>
      <sheetName val="Diseños"/>
      <sheetName val="tablas"/>
    </sheetNames>
    <sheetDataSet>
      <sheetData sheetId="2">
        <row r="779">
          <cell r="H779">
            <v>1</v>
          </cell>
          <cell r="I779">
            <v>1.8</v>
          </cell>
          <cell r="J779">
            <v>1.8</v>
          </cell>
        </row>
        <row r="780">
          <cell r="H780">
            <v>2</v>
          </cell>
          <cell r="I780">
            <v>1.9</v>
          </cell>
          <cell r="J780">
            <v>1.9</v>
          </cell>
        </row>
        <row r="781">
          <cell r="H781">
            <v>3</v>
          </cell>
          <cell r="I781">
            <v>2</v>
          </cell>
          <cell r="J781">
            <v>2</v>
          </cell>
        </row>
        <row r="782">
          <cell r="H782">
            <v>4</v>
          </cell>
          <cell r="I782">
            <v>2.1</v>
          </cell>
          <cell r="J782">
            <v>2.1</v>
          </cell>
        </row>
        <row r="783">
          <cell r="H783">
            <v>5</v>
          </cell>
          <cell r="I783">
            <v>2.2</v>
          </cell>
          <cell r="J783">
            <v>2.2</v>
          </cell>
        </row>
        <row r="784">
          <cell r="H784">
            <v>6</v>
          </cell>
          <cell r="I784">
            <v>2.3</v>
          </cell>
          <cell r="J784">
            <v>2.3</v>
          </cell>
        </row>
        <row r="785">
          <cell r="H785">
            <v>7</v>
          </cell>
          <cell r="I785">
            <v>2.4</v>
          </cell>
          <cell r="J785">
            <v>2.4</v>
          </cell>
        </row>
        <row r="786">
          <cell r="H786">
            <v>8</v>
          </cell>
          <cell r="I786">
            <v>2.5</v>
          </cell>
          <cell r="J786">
            <v>2.5</v>
          </cell>
        </row>
        <row r="787">
          <cell r="H787">
            <v>9</v>
          </cell>
          <cell r="I787">
            <v>2.6</v>
          </cell>
          <cell r="J787">
            <v>2.6</v>
          </cell>
        </row>
        <row r="788">
          <cell r="H788">
            <v>10</v>
          </cell>
          <cell r="I788">
            <v>2.7</v>
          </cell>
          <cell r="J788">
            <v>2.7</v>
          </cell>
        </row>
        <row r="789">
          <cell r="H789">
            <v>11</v>
          </cell>
          <cell r="I789">
            <v>2.8</v>
          </cell>
          <cell r="J789">
            <v>2.8</v>
          </cell>
        </row>
        <row r="790">
          <cell r="H790">
            <v>12</v>
          </cell>
          <cell r="I790">
            <v>2.9</v>
          </cell>
          <cell r="J790">
            <v>2.9</v>
          </cell>
        </row>
        <row r="791">
          <cell r="H791">
            <v>13</v>
          </cell>
          <cell r="I791">
            <v>3</v>
          </cell>
          <cell r="J791">
            <v>3</v>
          </cell>
        </row>
        <row r="792">
          <cell r="H792">
            <v>14</v>
          </cell>
          <cell r="I792">
            <v>3.1</v>
          </cell>
          <cell r="J792">
            <v>3.1</v>
          </cell>
        </row>
        <row r="793">
          <cell r="H793">
            <v>15</v>
          </cell>
          <cell r="I793">
            <v>3.2</v>
          </cell>
          <cell r="J793">
            <v>3.2</v>
          </cell>
        </row>
        <row r="794">
          <cell r="H794">
            <v>16</v>
          </cell>
          <cell r="I794">
            <v>3.3</v>
          </cell>
          <cell r="J794">
            <v>3.3</v>
          </cell>
        </row>
        <row r="795">
          <cell r="H795">
            <v>17</v>
          </cell>
          <cell r="I795">
            <v>3.4</v>
          </cell>
          <cell r="J795">
            <v>3.4</v>
          </cell>
        </row>
        <row r="796">
          <cell r="H796">
            <v>18</v>
          </cell>
          <cell r="I796">
            <v>3.5</v>
          </cell>
          <cell r="J796">
            <v>3.5</v>
          </cell>
        </row>
        <row r="797">
          <cell r="H797">
            <v>19</v>
          </cell>
          <cell r="I797">
            <v>3.6</v>
          </cell>
          <cell r="J797">
            <v>3.6</v>
          </cell>
        </row>
        <row r="798">
          <cell r="H798">
            <v>20</v>
          </cell>
          <cell r="I798">
            <v>3.7</v>
          </cell>
          <cell r="J798">
            <v>3.7</v>
          </cell>
        </row>
        <row r="799">
          <cell r="H799">
            <v>21</v>
          </cell>
          <cell r="I799">
            <v>3.8</v>
          </cell>
          <cell r="J799">
            <v>3.8</v>
          </cell>
        </row>
        <row r="800">
          <cell r="H800">
            <v>22</v>
          </cell>
          <cell r="I800">
            <v>3.9</v>
          </cell>
          <cell r="J800">
            <v>3.9</v>
          </cell>
        </row>
        <row r="801">
          <cell r="H801">
            <v>23</v>
          </cell>
          <cell r="I801">
            <v>4</v>
          </cell>
          <cell r="J801">
            <v>4</v>
          </cell>
        </row>
        <row r="802">
          <cell r="H802">
            <v>24</v>
          </cell>
          <cell r="I802">
            <v>4.1</v>
          </cell>
          <cell r="J802">
            <v>4.1</v>
          </cell>
        </row>
        <row r="803">
          <cell r="H803">
            <v>25</v>
          </cell>
          <cell r="I803">
            <v>4.2</v>
          </cell>
          <cell r="J803">
            <v>4.2</v>
          </cell>
        </row>
        <row r="804">
          <cell r="H804">
            <v>26</v>
          </cell>
          <cell r="I804">
            <v>4.3</v>
          </cell>
          <cell r="J804">
            <v>4.3</v>
          </cell>
        </row>
        <row r="805">
          <cell r="H805">
            <v>27</v>
          </cell>
          <cell r="I805">
            <v>4.4</v>
          </cell>
          <cell r="J805">
            <v>4.4</v>
          </cell>
        </row>
        <row r="806">
          <cell r="H806">
            <v>28</v>
          </cell>
          <cell r="I806">
            <v>4.5</v>
          </cell>
          <cell r="J806">
            <v>4.5</v>
          </cell>
        </row>
        <row r="807">
          <cell r="H807">
            <v>29</v>
          </cell>
          <cell r="I807">
            <v>4.6</v>
          </cell>
          <cell r="J807">
            <v>4.6</v>
          </cell>
        </row>
        <row r="808">
          <cell r="H808">
            <v>30</v>
          </cell>
          <cell r="I808">
            <v>4.7</v>
          </cell>
          <cell r="J808">
            <v>4.7</v>
          </cell>
        </row>
        <row r="809">
          <cell r="H809">
            <v>31</v>
          </cell>
          <cell r="I809">
            <v>4.8</v>
          </cell>
          <cell r="J809">
            <v>4.8</v>
          </cell>
        </row>
        <row r="810">
          <cell r="H810">
            <v>32</v>
          </cell>
          <cell r="I810">
            <v>4.9</v>
          </cell>
          <cell r="J810">
            <v>4.9</v>
          </cell>
        </row>
        <row r="811">
          <cell r="H811">
            <v>33</v>
          </cell>
          <cell r="I811">
            <v>5</v>
          </cell>
          <cell r="J811">
            <v>5</v>
          </cell>
        </row>
        <row r="812">
          <cell r="H812">
            <v>34</v>
          </cell>
          <cell r="I812">
            <v>5.1</v>
          </cell>
          <cell r="J812">
            <v>5.1</v>
          </cell>
        </row>
        <row r="813">
          <cell r="H813">
            <v>35</v>
          </cell>
          <cell r="I813">
            <v>5.2</v>
          </cell>
          <cell r="J813">
            <v>5.2</v>
          </cell>
        </row>
        <row r="814">
          <cell r="H814">
            <v>36</v>
          </cell>
          <cell r="I814">
            <v>5.3</v>
          </cell>
          <cell r="J814">
            <v>5.3</v>
          </cell>
        </row>
        <row r="815">
          <cell r="H815">
            <v>37</v>
          </cell>
          <cell r="I815">
            <v>5.4</v>
          </cell>
          <cell r="J815">
            <v>5.4</v>
          </cell>
        </row>
        <row r="816">
          <cell r="H816">
            <v>38</v>
          </cell>
          <cell r="I816">
            <v>5.49999999999999</v>
          </cell>
          <cell r="J816">
            <v>5.49999999999999</v>
          </cell>
        </row>
        <row r="817">
          <cell r="H817">
            <v>39</v>
          </cell>
          <cell r="I817">
            <v>5.59999999999999</v>
          </cell>
          <cell r="J817">
            <v>5.59999999999999</v>
          </cell>
        </row>
        <row r="818">
          <cell r="H818">
            <v>40</v>
          </cell>
          <cell r="I818">
            <v>5.7</v>
          </cell>
          <cell r="J818">
            <v>5.7</v>
          </cell>
        </row>
        <row r="819">
          <cell r="H819">
            <v>41</v>
          </cell>
          <cell r="I819">
            <v>5.79999999999999</v>
          </cell>
          <cell r="J819">
            <v>5.79999999999999</v>
          </cell>
        </row>
        <row r="820">
          <cell r="H820">
            <v>42</v>
          </cell>
          <cell r="I820">
            <v>5.89999999999999</v>
          </cell>
          <cell r="J820">
            <v>5.89999999999999</v>
          </cell>
        </row>
        <row r="821">
          <cell r="H821">
            <v>43</v>
          </cell>
          <cell r="I821">
            <v>5.99999999999999</v>
          </cell>
          <cell r="J821">
            <v>5.99999999999999</v>
          </cell>
        </row>
        <row r="822">
          <cell r="H822">
            <v>44</v>
          </cell>
          <cell r="I822">
            <v>6.09999999999999</v>
          </cell>
          <cell r="J822">
            <v>6.09999999999999</v>
          </cell>
        </row>
        <row r="823">
          <cell r="H823">
            <v>45</v>
          </cell>
          <cell r="I823">
            <v>6.19999999999999</v>
          </cell>
          <cell r="J823">
            <v>6.19999999999999</v>
          </cell>
        </row>
        <row r="824">
          <cell r="H824">
            <v>46</v>
          </cell>
          <cell r="I824">
            <v>6.29999999999999</v>
          </cell>
          <cell r="J824">
            <v>6.29999999999999</v>
          </cell>
        </row>
        <row r="825">
          <cell r="H825">
            <v>47</v>
          </cell>
          <cell r="I825">
            <v>6.39999999999999</v>
          </cell>
          <cell r="J825">
            <v>6.39999999999999</v>
          </cell>
        </row>
        <row r="826">
          <cell r="H826">
            <v>48</v>
          </cell>
          <cell r="I826">
            <v>6.49999999999999</v>
          </cell>
          <cell r="J826">
            <v>6.49999999999999</v>
          </cell>
        </row>
        <row r="827">
          <cell r="H827">
            <v>49</v>
          </cell>
          <cell r="I827">
            <v>6.59999999999999</v>
          </cell>
          <cell r="J827">
            <v>6.59999999999999</v>
          </cell>
        </row>
        <row r="828">
          <cell r="H828">
            <v>50</v>
          </cell>
          <cell r="I828">
            <v>6.69999999999999</v>
          </cell>
          <cell r="J828">
            <v>6.69999999999999</v>
          </cell>
        </row>
        <row r="829">
          <cell r="H829">
            <v>51</v>
          </cell>
          <cell r="I829">
            <v>6.79999999999999</v>
          </cell>
          <cell r="J829">
            <v>6.79999999999999</v>
          </cell>
        </row>
        <row r="830">
          <cell r="H830">
            <v>52</v>
          </cell>
          <cell r="I830">
            <v>6.89999999999999</v>
          </cell>
          <cell r="J830">
            <v>6.89999999999999</v>
          </cell>
        </row>
        <row r="831">
          <cell r="H831">
            <v>53</v>
          </cell>
          <cell r="I831">
            <v>6.99999999999999</v>
          </cell>
          <cell r="J831">
            <v>6.99999999999999</v>
          </cell>
        </row>
        <row r="832">
          <cell r="H832">
            <v>54</v>
          </cell>
          <cell r="I832">
            <v>7.09999999999999</v>
          </cell>
          <cell r="J832">
            <v>7.09999999999999</v>
          </cell>
        </row>
        <row r="833">
          <cell r="H833">
            <v>55</v>
          </cell>
          <cell r="I833">
            <v>7.19999999999999</v>
          </cell>
          <cell r="J833">
            <v>7.19999999999999</v>
          </cell>
        </row>
        <row r="834">
          <cell r="H834">
            <v>56</v>
          </cell>
          <cell r="I834">
            <v>7.29999999999999</v>
          </cell>
          <cell r="J834">
            <v>7.29999999999999</v>
          </cell>
        </row>
        <row r="835">
          <cell r="H835">
            <v>57</v>
          </cell>
          <cell r="I835">
            <v>7.39999999999999</v>
          </cell>
          <cell r="J835">
            <v>7.39999999999999</v>
          </cell>
        </row>
        <row r="836">
          <cell r="H836">
            <v>58</v>
          </cell>
          <cell r="I836">
            <v>7.49999999999999</v>
          </cell>
          <cell r="J836">
            <v>7.49999999999999</v>
          </cell>
        </row>
        <row r="837">
          <cell r="H837">
            <v>59</v>
          </cell>
          <cell r="I837">
            <v>7.59999999999999</v>
          </cell>
          <cell r="J837">
            <v>7.59999999999999</v>
          </cell>
        </row>
        <row r="838">
          <cell r="H838">
            <v>60</v>
          </cell>
          <cell r="I838">
            <v>7.69999999999999</v>
          </cell>
          <cell r="J838">
            <v>7.69999999999999</v>
          </cell>
        </row>
        <row r="839">
          <cell r="H839">
            <v>61</v>
          </cell>
          <cell r="I839">
            <v>7.79999999999999</v>
          </cell>
          <cell r="J839">
            <v>7.79999999999999</v>
          </cell>
        </row>
        <row r="840">
          <cell r="H840">
            <v>62</v>
          </cell>
          <cell r="I840">
            <v>7.89999999999999</v>
          </cell>
          <cell r="J840">
            <v>7.89999999999999</v>
          </cell>
        </row>
        <row r="841">
          <cell r="H841">
            <v>63</v>
          </cell>
          <cell r="I841">
            <v>7.99999999999999</v>
          </cell>
          <cell r="J841">
            <v>7.99999999999999</v>
          </cell>
        </row>
        <row r="842">
          <cell r="H842">
            <v>64</v>
          </cell>
          <cell r="I842">
            <v>8.09999999999999</v>
          </cell>
          <cell r="J842">
            <v>8.09999999999999</v>
          </cell>
        </row>
        <row r="843">
          <cell r="H843">
            <v>65</v>
          </cell>
          <cell r="I843">
            <v>8.19999999999999</v>
          </cell>
          <cell r="J843">
            <v>8.19999999999999</v>
          </cell>
        </row>
        <row r="844">
          <cell r="H844">
            <v>66</v>
          </cell>
          <cell r="I844">
            <v>8.29999999999999</v>
          </cell>
          <cell r="J844">
            <v>8.29999999999999</v>
          </cell>
        </row>
        <row r="845">
          <cell r="H845">
            <v>67</v>
          </cell>
          <cell r="I845">
            <v>8.39999999999999</v>
          </cell>
          <cell r="J845">
            <v>8.39999999999999</v>
          </cell>
        </row>
        <row r="846">
          <cell r="H846">
            <v>68</v>
          </cell>
          <cell r="I846">
            <v>8.49999999999999</v>
          </cell>
          <cell r="J846">
            <v>8.49999999999999</v>
          </cell>
        </row>
        <row r="847">
          <cell r="H847">
            <v>69</v>
          </cell>
          <cell r="I847">
            <v>8.59999999999999</v>
          </cell>
          <cell r="J847">
            <v>8.59999999999999</v>
          </cell>
        </row>
        <row r="848">
          <cell r="H848">
            <v>70</v>
          </cell>
          <cell r="I848">
            <v>8.69999999999999</v>
          </cell>
          <cell r="J848">
            <v>8.69999999999999</v>
          </cell>
        </row>
        <row r="849">
          <cell r="H849">
            <v>71</v>
          </cell>
          <cell r="I849">
            <v>8.79999999999999</v>
          </cell>
          <cell r="J849">
            <v>8.79999999999999</v>
          </cell>
        </row>
        <row r="850">
          <cell r="H850">
            <v>72</v>
          </cell>
          <cell r="I850">
            <v>8.89999999999999</v>
          </cell>
          <cell r="J850">
            <v>8.89999999999999</v>
          </cell>
        </row>
        <row r="851">
          <cell r="H851">
            <v>73</v>
          </cell>
          <cell r="I851">
            <v>8.99999999999999</v>
          </cell>
          <cell r="J851">
            <v>8.99999999999999</v>
          </cell>
        </row>
        <row r="852">
          <cell r="H852">
            <v>74</v>
          </cell>
          <cell r="I852">
            <v>9.09999999999999</v>
          </cell>
          <cell r="J852">
            <v>9.09999999999999</v>
          </cell>
        </row>
        <row r="853">
          <cell r="H853">
            <v>75</v>
          </cell>
          <cell r="I853">
            <v>9.19999999999999</v>
          </cell>
          <cell r="J853">
            <v>9.19999999999999</v>
          </cell>
        </row>
        <row r="854">
          <cell r="H854">
            <v>76</v>
          </cell>
          <cell r="I854">
            <v>9.29999999999999</v>
          </cell>
          <cell r="J854">
            <v>9.29999999999999</v>
          </cell>
        </row>
        <row r="855">
          <cell r="H855">
            <v>77</v>
          </cell>
          <cell r="I855">
            <v>9.39999999999999</v>
          </cell>
          <cell r="J855">
            <v>9.39999999999999</v>
          </cell>
        </row>
        <row r="856">
          <cell r="H856">
            <v>78</v>
          </cell>
          <cell r="I856">
            <v>9.49999999999999</v>
          </cell>
          <cell r="J856">
            <v>9.49999999999999</v>
          </cell>
        </row>
        <row r="857">
          <cell r="H857">
            <v>79</v>
          </cell>
          <cell r="I857">
            <v>9.59999999999999</v>
          </cell>
          <cell r="J857">
            <v>9.59999999999999</v>
          </cell>
        </row>
        <row r="858">
          <cell r="H858">
            <v>80</v>
          </cell>
          <cell r="I858">
            <v>9.69999999999999</v>
          </cell>
          <cell r="J858">
            <v>9.69999999999999</v>
          </cell>
        </row>
        <row r="859">
          <cell r="H859">
            <v>81</v>
          </cell>
          <cell r="I859">
            <v>9.79999999999999</v>
          </cell>
          <cell r="J859">
            <v>9.79999999999999</v>
          </cell>
        </row>
        <row r="860">
          <cell r="H860">
            <v>82</v>
          </cell>
          <cell r="I860">
            <v>9.89999999999999</v>
          </cell>
          <cell r="J860">
            <v>9.89999999999999</v>
          </cell>
        </row>
        <row r="861">
          <cell r="H861">
            <v>83</v>
          </cell>
          <cell r="I861">
            <v>9.99999999999999</v>
          </cell>
          <cell r="J861">
            <v>9.99999999999999</v>
          </cell>
        </row>
        <row r="862">
          <cell r="H862">
            <v>84</v>
          </cell>
          <cell r="I862">
            <v>10.1</v>
          </cell>
          <cell r="J862">
            <v>10.1</v>
          </cell>
        </row>
        <row r="863">
          <cell r="H863">
            <v>85</v>
          </cell>
          <cell r="I863">
            <v>10.2</v>
          </cell>
          <cell r="J863">
            <v>10.2</v>
          </cell>
        </row>
        <row r="864">
          <cell r="H864">
            <v>86</v>
          </cell>
          <cell r="I864">
            <v>10.3</v>
          </cell>
          <cell r="J864">
            <v>10.3</v>
          </cell>
        </row>
        <row r="865">
          <cell r="H865">
            <v>87</v>
          </cell>
          <cell r="I865">
            <v>10.4</v>
          </cell>
          <cell r="J865">
            <v>10.4</v>
          </cell>
        </row>
        <row r="866">
          <cell r="H866">
            <v>88</v>
          </cell>
          <cell r="I866">
            <v>10.5</v>
          </cell>
          <cell r="J866">
            <v>10.5</v>
          </cell>
        </row>
        <row r="867">
          <cell r="H867">
            <v>89</v>
          </cell>
          <cell r="I867">
            <v>10.6</v>
          </cell>
          <cell r="J867">
            <v>10.6</v>
          </cell>
        </row>
        <row r="868">
          <cell r="H868">
            <v>90</v>
          </cell>
          <cell r="I868">
            <v>10.7</v>
          </cell>
          <cell r="J868">
            <v>10.7</v>
          </cell>
        </row>
        <row r="869">
          <cell r="H869">
            <v>91</v>
          </cell>
          <cell r="I869">
            <v>10.8</v>
          </cell>
          <cell r="J869">
            <v>10.8</v>
          </cell>
        </row>
        <row r="870">
          <cell r="H870">
            <v>92</v>
          </cell>
          <cell r="I870">
            <v>10.9</v>
          </cell>
          <cell r="J870">
            <v>10.9</v>
          </cell>
        </row>
        <row r="871">
          <cell r="H871">
            <v>93</v>
          </cell>
          <cell r="I871">
            <v>11</v>
          </cell>
          <cell r="J871">
            <v>11</v>
          </cell>
        </row>
        <row r="872">
          <cell r="H872">
            <v>94</v>
          </cell>
          <cell r="I872">
            <v>11.1</v>
          </cell>
          <cell r="J872">
            <v>11.1</v>
          </cell>
        </row>
        <row r="873">
          <cell r="H873">
            <v>95</v>
          </cell>
          <cell r="I873">
            <v>11.2</v>
          </cell>
          <cell r="J873">
            <v>11.2</v>
          </cell>
        </row>
        <row r="874">
          <cell r="H874">
            <v>96</v>
          </cell>
          <cell r="I874">
            <v>11.3</v>
          </cell>
          <cell r="J874">
            <v>11.3</v>
          </cell>
        </row>
        <row r="875">
          <cell r="H875">
            <v>97</v>
          </cell>
          <cell r="I875">
            <v>11.4</v>
          </cell>
          <cell r="J875">
            <v>11.4</v>
          </cell>
        </row>
        <row r="876">
          <cell r="H876">
            <v>98</v>
          </cell>
          <cell r="I876">
            <v>11.5</v>
          </cell>
          <cell r="J876">
            <v>11.5</v>
          </cell>
        </row>
        <row r="877">
          <cell r="H877">
            <v>99</v>
          </cell>
          <cell r="I877">
            <v>11.6</v>
          </cell>
          <cell r="J877">
            <v>11.6</v>
          </cell>
        </row>
        <row r="878">
          <cell r="H878">
            <v>100</v>
          </cell>
          <cell r="I878">
            <v>11.7</v>
          </cell>
          <cell r="J878">
            <v>11.7</v>
          </cell>
        </row>
        <row r="879">
          <cell r="H879">
            <v>101</v>
          </cell>
          <cell r="I879">
            <v>11.8</v>
          </cell>
          <cell r="J879">
            <v>11.8</v>
          </cell>
        </row>
        <row r="880">
          <cell r="H880">
            <v>102</v>
          </cell>
          <cell r="I880">
            <v>11.9</v>
          </cell>
          <cell r="J880">
            <v>11.9</v>
          </cell>
        </row>
        <row r="881">
          <cell r="H881">
            <v>103</v>
          </cell>
          <cell r="I881">
            <v>12</v>
          </cell>
          <cell r="J88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273"/>
  <sheetViews>
    <sheetView showGridLines="0" workbookViewId="0" topLeftCell="A117">
      <pane xSplit="11" ySplit="15" topLeftCell="L13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I137" sqref="I137"/>
    </sheetView>
  </sheetViews>
  <sheetFormatPr defaultColWidth="11.421875" defaultRowHeight="12.75"/>
  <cols>
    <col min="1" max="1" width="8.28125" style="0" customWidth="1"/>
    <col min="2" max="6" width="8.140625" style="0" customWidth="1"/>
    <col min="7" max="7" width="8.421875" style="0" customWidth="1"/>
    <col min="8" max="10" width="8.140625" style="0" customWidth="1"/>
    <col min="11" max="11" width="8.8515625" style="0" customWidth="1"/>
    <col min="12" max="12" width="7.140625" style="0" customWidth="1"/>
  </cols>
  <sheetData>
    <row r="1" spans="2:12" ht="20.25">
      <c r="B1" s="712" t="s">
        <v>0</v>
      </c>
      <c r="C1" s="712"/>
      <c r="D1" s="712"/>
      <c r="E1" s="712"/>
      <c r="F1" s="712"/>
      <c r="G1" s="712"/>
      <c r="H1" s="712"/>
      <c r="I1" s="712"/>
      <c r="J1" s="712"/>
      <c r="K1" s="1"/>
      <c r="L1" s="1"/>
    </row>
    <row r="2" spans="2:10" ht="15.75">
      <c r="B2" s="713" t="s">
        <v>1</v>
      </c>
      <c r="C2" s="713"/>
      <c r="D2" s="713"/>
      <c r="E2" s="713"/>
      <c r="F2" s="713"/>
      <c r="G2" s="713"/>
      <c r="H2" s="713"/>
      <c r="I2" s="713"/>
      <c r="J2" s="713"/>
    </row>
    <row r="3" spans="1:4" ht="12.75">
      <c r="A3" s="21"/>
      <c r="B3" s="4"/>
      <c r="C3" s="4"/>
      <c r="D3" s="4"/>
    </row>
    <row r="4" spans="1:7" ht="12.75">
      <c r="A4" s="101"/>
      <c r="B4" s="4" t="s">
        <v>74</v>
      </c>
      <c r="C4" s="4"/>
      <c r="D4" s="61" t="s">
        <v>569</v>
      </c>
      <c r="E4" s="6"/>
      <c r="F4" s="6"/>
      <c r="G4" s="6"/>
    </row>
    <row r="5" spans="1:10" ht="12.75">
      <c r="A5" s="21">
        <v>1</v>
      </c>
      <c r="B5" s="4" t="s">
        <v>545</v>
      </c>
      <c r="C5" s="61"/>
      <c r="D5" s="61"/>
      <c r="E5" s="61"/>
      <c r="F5" s="61"/>
      <c r="G5" s="61"/>
      <c r="H5" s="61"/>
      <c r="J5" s="10"/>
    </row>
    <row r="6" spans="1:10" ht="12.75">
      <c r="A6" s="21"/>
      <c r="B6" s="6"/>
      <c r="C6" s="6"/>
      <c r="D6" s="6"/>
      <c r="J6" s="10"/>
    </row>
    <row r="7" spans="1:10" ht="12.75">
      <c r="A7" s="21">
        <v>1.1</v>
      </c>
      <c r="B7" s="4" t="s">
        <v>75</v>
      </c>
      <c r="C7" s="4"/>
      <c r="D7" s="6"/>
      <c r="J7" s="10"/>
    </row>
    <row r="8" spans="1:12" ht="12.75">
      <c r="A8" s="11"/>
      <c r="B8" s="11" t="s">
        <v>5</v>
      </c>
      <c r="C8" s="481" t="s">
        <v>6</v>
      </c>
      <c r="D8" s="481"/>
      <c r="E8" s="481"/>
      <c r="F8" s="481"/>
      <c r="G8" s="481"/>
      <c r="H8" s="481"/>
      <c r="I8" s="481"/>
      <c r="J8" s="481"/>
      <c r="K8" s="481"/>
      <c r="L8" s="6"/>
    </row>
    <row r="9" spans="1:11" ht="12.75">
      <c r="A9" s="11"/>
      <c r="B9" s="11"/>
      <c r="C9" s="481" t="s">
        <v>7</v>
      </c>
      <c r="D9" s="481"/>
      <c r="E9" s="481"/>
      <c r="F9" s="481"/>
      <c r="G9" s="481"/>
      <c r="H9" s="481"/>
      <c r="I9" s="481"/>
      <c r="J9" s="482"/>
      <c r="K9" s="481"/>
    </row>
    <row r="10" spans="1:12" ht="12.75">
      <c r="A10" s="11"/>
      <c r="B10" s="11" t="s">
        <v>8</v>
      </c>
      <c r="C10" s="481" t="s">
        <v>9</v>
      </c>
      <c r="D10" s="481"/>
      <c r="E10" s="481"/>
      <c r="F10" s="481"/>
      <c r="G10" s="481"/>
      <c r="H10" s="481"/>
      <c r="I10" s="481"/>
      <c r="J10" s="481"/>
      <c r="K10" s="481"/>
      <c r="L10" s="6"/>
    </row>
    <row r="11" spans="1:11" ht="12.75">
      <c r="A11" s="11"/>
      <c r="B11" s="11"/>
      <c r="C11" s="481" t="s">
        <v>10</v>
      </c>
      <c r="D11" s="481"/>
      <c r="E11" s="481"/>
      <c r="F11" s="481"/>
      <c r="G11" s="481"/>
      <c r="H11" s="481"/>
      <c r="I11" s="481"/>
      <c r="J11" s="481"/>
      <c r="K11" s="481"/>
    </row>
    <row r="12" spans="1:12" ht="12.75">
      <c r="A12" s="11"/>
      <c r="B12" s="11" t="s">
        <v>11</v>
      </c>
      <c r="C12" s="481" t="s">
        <v>12</v>
      </c>
      <c r="D12" s="481"/>
      <c r="E12" s="481"/>
      <c r="F12" s="481"/>
      <c r="G12" s="481"/>
      <c r="H12" s="481"/>
      <c r="I12" s="481"/>
      <c r="J12" s="481"/>
      <c r="K12" s="481"/>
      <c r="L12" s="6"/>
    </row>
    <row r="13" spans="1:12" ht="12.75">
      <c r="A13" s="11"/>
      <c r="B13" s="11"/>
      <c r="C13" s="481" t="s">
        <v>13</v>
      </c>
      <c r="D13" s="481"/>
      <c r="E13" s="481"/>
      <c r="F13" s="481"/>
      <c r="G13" s="481"/>
      <c r="H13" s="481"/>
      <c r="I13" s="481"/>
      <c r="J13" s="481"/>
      <c r="K13" s="481"/>
      <c r="L13" s="6"/>
    </row>
    <row r="14" spans="1:11" ht="12.75">
      <c r="A14" s="11"/>
      <c r="B14" s="11"/>
      <c r="C14" s="481" t="s">
        <v>14</v>
      </c>
      <c r="D14" s="481"/>
      <c r="E14" s="481"/>
      <c r="F14" s="481"/>
      <c r="G14" s="481"/>
      <c r="H14" s="481"/>
      <c r="I14" s="481"/>
      <c r="J14" s="482"/>
      <c r="K14" s="481"/>
    </row>
    <row r="15" spans="1:11" ht="12.75">
      <c r="A15" s="11"/>
      <c r="B15" s="11"/>
      <c r="C15" s="483"/>
      <c r="D15" s="483" t="s">
        <v>687</v>
      </c>
      <c r="E15" s="483"/>
      <c r="F15" s="483"/>
      <c r="G15" s="483"/>
      <c r="H15" s="483"/>
      <c r="I15" s="481"/>
      <c r="J15" s="482"/>
      <c r="K15" s="481"/>
    </row>
    <row r="16" spans="1:11" ht="12.75">
      <c r="A16" s="11"/>
      <c r="B16" s="11"/>
      <c r="C16" s="483"/>
      <c r="D16" s="483" t="s">
        <v>688</v>
      </c>
      <c r="E16" s="483"/>
      <c r="F16" s="483"/>
      <c r="G16" s="483"/>
      <c r="H16" s="483"/>
      <c r="I16" s="481"/>
      <c r="J16" s="482"/>
      <c r="K16" s="481"/>
    </row>
    <row r="17" spans="1:11" ht="12.75">
      <c r="A17" s="11"/>
      <c r="B17" s="11"/>
      <c r="C17" s="483"/>
      <c r="D17" s="483" t="s">
        <v>689</v>
      </c>
      <c r="E17" s="483"/>
      <c r="F17" s="483"/>
      <c r="G17" s="483"/>
      <c r="H17" s="483"/>
      <c r="I17" s="481"/>
      <c r="J17" s="482"/>
      <c r="K17" s="481"/>
    </row>
    <row r="18" spans="1:11" ht="12.75">
      <c r="A18" s="11"/>
      <c r="B18" s="11"/>
      <c r="C18" s="483"/>
      <c r="D18" s="483" t="s">
        <v>261</v>
      </c>
      <c r="E18" s="481"/>
      <c r="F18" s="481"/>
      <c r="G18" s="482"/>
      <c r="H18" s="481"/>
      <c r="I18" s="481"/>
      <c r="J18" s="482"/>
      <c r="K18" s="481"/>
    </row>
    <row r="19" spans="1:11" ht="12.75">
      <c r="A19" s="11"/>
      <c r="B19" s="11" t="s">
        <v>15</v>
      </c>
      <c r="C19" s="483" t="s">
        <v>16</v>
      </c>
      <c r="D19" s="481"/>
      <c r="E19" s="481"/>
      <c r="F19" s="481"/>
      <c r="G19" s="482"/>
      <c r="H19" s="481"/>
      <c r="I19" s="481"/>
      <c r="J19" s="482"/>
      <c r="K19" s="481"/>
    </row>
    <row r="20" spans="1:11" ht="12.75">
      <c r="A20" s="11"/>
      <c r="B20" s="11"/>
      <c r="C20" s="483" t="s">
        <v>17</v>
      </c>
      <c r="D20" s="481"/>
      <c r="E20" s="481"/>
      <c r="F20" s="481"/>
      <c r="G20" s="482"/>
      <c r="H20" s="481"/>
      <c r="I20" s="481"/>
      <c r="J20" s="482"/>
      <c r="K20" s="481"/>
    </row>
    <row r="21" spans="1:11" ht="15.75">
      <c r="A21" s="11"/>
      <c r="B21" s="2" t="s">
        <v>76</v>
      </c>
      <c r="C21" s="483" t="s">
        <v>77</v>
      </c>
      <c r="D21" s="481"/>
      <c r="E21" s="481"/>
      <c r="F21" s="481"/>
      <c r="G21" s="482"/>
      <c r="H21" s="481"/>
      <c r="I21" s="481"/>
      <c r="J21" s="482"/>
      <c r="K21" s="481"/>
    </row>
    <row r="22" spans="1:11" ht="12.75">
      <c r="A22" s="11"/>
      <c r="B22" s="11"/>
      <c r="C22" s="483" t="s">
        <v>78</v>
      </c>
      <c r="D22" s="481"/>
      <c r="E22" s="481"/>
      <c r="F22" s="481"/>
      <c r="G22" s="482"/>
      <c r="H22" s="481"/>
      <c r="I22" s="481"/>
      <c r="J22" s="482"/>
      <c r="K22" s="481"/>
    </row>
    <row r="23" spans="1:11" ht="12.75">
      <c r="A23" s="11"/>
      <c r="B23" s="11"/>
      <c r="C23" s="12"/>
      <c r="D23" s="6"/>
      <c r="E23" s="6"/>
      <c r="F23" s="10"/>
      <c r="G23" s="482" t="s">
        <v>79</v>
      </c>
      <c r="H23" s="481"/>
      <c r="I23" s="481"/>
      <c r="J23" s="482"/>
      <c r="K23" s="481"/>
    </row>
    <row r="24" spans="1:11" ht="12.75">
      <c r="A24" s="11"/>
      <c r="B24" s="11"/>
      <c r="C24" s="12"/>
      <c r="D24" s="6"/>
      <c r="E24" s="6"/>
      <c r="F24" s="6"/>
      <c r="G24" s="482"/>
      <c r="H24" s="481"/>
      <c r="I24" s="481"/>
      <c r="J24" s="482"/>
      <c r="K24" s="481"/>
    </row>
    <row r="25" spans="1:11" ht="12.75">
      <c r="A25" s="11"/>
      <c r="B25" s="11"/>
      <c r="C25" s="12"/>
      <c r="D25" s="6"/>
      <c r="E25" s="6"/>
      <c r="F25" s="6"/>
      <c r="G25" s="482" t="s">
        <v>546</v>
      </c>
      <c r="H25" s="481" t="s">
        <v>547</v>
      </c>
      <c r="I25" s="481"/>
      <c r="J25" s="482"/>
      <c r="K25" s="481"/>
    </row>
    <row r="26" spans="1:11" ht="12.75">
      <c r="A26" s="11"/>
      <c r="B26" s="11"/>
      <c r="C26" s="12"/>
      <c r="D26" s="6"/>
      <c r="E26" s="6"/>
      <c r="F26" s="6"/>
      <c r="G26" s="482" t="s">
        <v>548</v>
      </c>
      <c r="H26" s="481" t="s">
        <v>549</v>
      </c>
      <c r="I26" s="481"/>
      <c r="J26" s="482"/>
      <c r="K26" s="481"/>
    </row>
    <row r="27" spans="1:11" ht="12.75">
      <c r="A27" s="11"/>
      <c r="B27" s="11"/>
      <c r="C27" s="12"/>
      <c r="D27" s="6"/>
      <c r="E27" s="6"/>
      <c r="F27" s="6"/>
      <c r="G27" s="482" t="s">
        <v>550</v>
      </c>
      <c r="H27" s="481" t="s">
        <v>551</v>
      </c>
      <c r="I27" s="481"/>
      <c r="J27" s="482"/>
      <c r="K27" s="481"/>
    </row>
    <row r="28" spans="1:11" ht="12.75">
      <c r="A28" s="11"/>
      <c r="B28" s="11"/>
      <c r="C28" s="12"/>
      <c r="D28" s="6"/>
      <c r="E28" s="6"/>
      <c r="F28" s="6"/>
      <c r="G28" s="482" t="s">
        <v>552</v>
      </c>
      <c r="H28" s="481" t="s">
        <v>553</v>
      </c>
      <c r="I28" s="481"/>
      <c r="J28" s="482"/>
      <c r="K28" s="481"/>
    </row>
    <row r="29" spans="1:10" ht="12.75">
      <c r="A29" s="11"/>
      <c r="B29" s="11"/>
      <c r="C29" s="12"/>
      <c r="D29" s="6"/>
      <c r="E29" s="6"/>
      <c r="F29" s="6"/>
      <c r="G29" s="10"/>
      <c r="H29" s="6"/>
      <c r="J29" s="10"/>
    </row>
    <row r="30" spans="1:11" ht="15.75">
      <c r="A30" s="11"/>
      <c r="B30" s="2" t="s">
        <v>76</v>
      </c>
      <c r="C30" s="483" t="s">
        <v>80</v>
      </c>
      <c r="D30" s="481"/>
      <c r="E30" s="481"/>
      <c r="F30" s="481"/>
      <c r="G30" s="482"/>
      <c r="H30" s="481"/>
      <c r="I30" s="481"/>
      <c r="J30" s="482"/>
      <c r="K30" s="481"/>
    </row>
    <row r="31" spans="1:11" ht="12.75">
      <c r="A31" s="11"/>
      <c r="B31" s="11"/>
      <c r="C31" s="483" t="s">
        <v>81</v>
      </c>
      <c r="D31" s="481"/>
      <c r="E31" s="481"/>
      <c r="F31" s="481"/>
      <c r="G31" s="482"/>
      <c r="H31" s="481"/>
      <c r="I31" s="481"/>
      <c r="J31" s="482"/>
      <c r="K31" s="481"/>
    </row>
    <row r="32" spans="1:10" ht="12.75">
      <c r="A32" s="11"/>
      <c r="B32" s="11"/>
      <c r="C32" s="12"/>
      <c r="D32" s="6"/>
      <c r="E32" s="6"/>
      <c r="F32" s="6"/>
      <c r="G32" s="10"/>
      <c r="H32" s="6"/>
      <c r="J32" s="10"/>
    </row>
    <row r="33" spans="1:10" ht="12.75">
      <c r="A33" s="11"/>
      <c r="B33" s="11"/>
      <c r="C33" s="12"/>
      <c r="D33" s="6"/>
      <c r="E33" s="6"/>
      <c r="F33" s="6"/>
      <c r="G33" s="10"/>
      <c r="H33" s="6"/>
      <c r="J33" s="10"/>
    </row>
    <row r="34" spans="1:10" ht="12.75">
      <c r="A34" s="11"/>
      <c r="B34" s="11"/>
      <c r="C34" s="12"/>
      <c r="D34" s="6"/>
      <c r="E34" s="6"/>
      <c r="F34" s="6"/>
      <c r="G34" s="10"/>
      <c r="H34" s="6"/>
      <c r="J34" s="10"/>
    </row>
    <row r="35" spans="1:10" ht="12.75">
      <c r="A35" s="11"/>
      <c r="B35" s="11"/>
      <c r="C35" s="12"/>
      <c r="D35" s="6"/>
      <c r="E35" s="6"/>
      <c r="F35" s="6"/>
      <c r="G35" s="10"/>
      <c r="H35" s="6"/>
      <c r="J35" s="10"/>
    </row>
    <row r="36" spans="1:10" ht="12.75">
      <c r="A36" s="11"/>
      <c r="B36" s="11"/>
      <c r="C36" s="12"/>
      <c r="D36" s="6"/>
      <c r="E36" s="6"/>
      <c r="F36" s="6"/>
      <c r="G36" s="10"/>
      <c r="H36" s="6"/>
      <c r="J36" s="10"/>
    </row>
    <row r="37" spans="1:11" ht="12.75">
      <c r="A37" s="11"/>
      <c r="B37" s="11"/>
      <c r="C37" s="483" t="s">
        <v>554</v>
      </c>
      <c r="D37" s="481"/>
      <c r="E37" s="481"/>
      <c r="F37" s="481"/>
      <c r="G37" s="482"/>
      <c r="H37" s="481"/>
      <c r="I37" s="481"/>
      <c r="J37" s="482"/>
      <c r="K37" s="481"/>
    </row>
    <row r="38" spans="1:11" ht="12.75">
      <c r="A38" s="11"/>
      <c r="B38" s="11"/>
      <c r="C38" s="482" t="s">
        <v>546</v>
      </c>
      <c r="D38" s="481" t="s">
        <v>555</v>
      </c>
      <c r="E38" s="481"/>
      <c r="F38" s="481"/>
      <c r="G38" s="482"/>
      <c r="H38" s="481"/>
      <c r="I38" s="481"/>
      <c r="J38" s="482"/>
      <c r="K38" s="481"/>
    </row>
    <row r="39" spans="1:11" ht="12.75">
      <c r="A39" s="11"/>
      <c r="B39" s="11"/>
      <c r="C39" s="482" t="s">
        <v>556</v>
      </c>
      <c r="D39" s="481" t="s">
        <v>557</v>
      </c>
      <c r="E39" s="481"/>
      <c r="F39" s="481"/>
      <c r="G39" s="482"/>
      <c r="H39" s="481"/>
      <c r="I39" s="481"/>
      <c r="J39" s="482"/>
      <c r="K39" s="481"/>
    </row>
    <row r="40" spans="1:11" ht="12.75">
      <c r="A40" s="11"/>
      <c r="B40" s="11"/>
      <c r="C40" s="482" t="s">
        <v>558</v>
      </c>
      <c r="D40" s="481" t="s">
        <v>559</v>
      </c>
      <c r="E40" s="481"/>
      <c r="F40" s="481"/>
      <c r="G40" s="482"/>
      <c r="H40" s="481"/>
      <c r="I40" s="481"/>
      <c r="J40" s="482"/>
      <c r="K40" s="481"/>
    </row>
    <row r="41" spans="1:11" ht="12.75">
      <c r="A41" s="11"/>
      <c r="B41" s="11"/>
      <c r="C41" s="482"/>
      <c r="D41" s="481"/>
      <c r="E41" s="481"/>
      <c r="F41" s="481"/>
      <c r="G41" s="482"/>
      <c r="H41" s="481"/>
      <c r="I41" s="481"/>
      <c r="J41" s="482"/>
      <c r="K41" s="481"/>
    </row>
    <row r="42" spans="1:10" ht="12.75">
      <c r="A42" s="21">
        <v>1.2</v>
      </c>
      <c r="B42" s="4" t="s">
        <v>82</v>
      </c>
      <c r="C42" s="4"/>
      <c r="D42" s="6"/>
      <c r="E42" s="6"/>
      <c r="F42" s="6"/>
      <c r="G42" s="10"/>
      <c r="H42" s="6"/>
      <c r="J42" s="10"/>
    </row>
    <row r="43" spans="1:11" ht="12.75">
      <c r="A43" s="11"/>
      <c r="B43" s="11"/>
      <c r="C43" s="483" t="s">
        <v>314</v>
      </c>
      <c r="D43" s="481"/>
      <c r="E43" s="481"/>
      <c r="F43" s="481"/>
      <c r="G43" s="482"/>
      <c r="H43" s="481"/>
      <c r="I43" s="481"/>
      <c r="J43" s="482"/>
      <c r="K43" s="481"/>
    </row>
    <row r="44" spans="1:11" ht="12.75">
      <c r="A44" s="11"/>
      <c r="B44" s="11"/>
      <c r="C44" s="483" t="s">
        <v>560</v>
      </c>
      <c r="D44" s="481"/>
      <c r="E44" s="481"/>
      <c r="F44" s="481"/>
      <c r="G44" s="482"/>
      <c r="H44" s="481"/>
      <c r="I44" s="481"/>
      <c r="J44" s="482"/>
      <c r="K44" s="481"/>
    </row>
    <row r="45" spans="1:11" ht="12.75">
      <c r="A45" s="21"/>
      <c r="B45" s="11"/>
      <c r="C45" s="483" t="s">
        <v>561</v>
      </c>
      <c r="D45" s="481"/>
      <c r="E45" s="481"/>
      <c r="F45" s="481"/>
      <c r="G45" s="482"/>
      <c r="H45" s="481"/>
      <c r="I45" s="481"/>
      <c r="J45" s="482"/>
      <c r="K45" s="481"/>
    </row>
    <row r="46" spans="1:10" ht="12.75">
      <c r="A46" s="21"/>
      <c r="B46" s="11"/>
      <c r="C46" s="12"/>
      <c r="D46" s="6"/>
      <c r="E46" s="6"/>
      <c r="F46" s="5" t="s">
        <v>18</v>
      </c>
      <c r="G46" s="10"/>
      <c r="H46" s="6"/>
      <c r="J46" s="10"/>
    </row>
    <row r="47" spans="1:10" ht="12.75">
      <c r="A47" s="21"/>
      <c r="B47" s="11"/>
      <c r="C47" s="12"/>
      <c r="D47" s="714" t="s">
        <v>19</v>
      </c>
      <c r="E47" s="715"/>
      <c r="F47" s="716" t="s">
        <v>20</v>
      </c>
      <c r="G47" s="717"/>
      <c r="H47" s="718"/>
      <c r="J47" s="10"/>
    </row>
    <row r="48" spans="1:10" ht="12.75">
      <c r="A48" s="21"/>
      <c r="B48" s="11"/>
      <c r="C48" s="12"/>
      <c r="D48" s="738" t="s">
        <v>21</v>
      </c>
      <c r="E48" s="739"/>
      <c r="F48" s="740" t="s">
        <v>22</v>
      </c>
      <c r="G48" s="729"/>
      <c r="H48" s="741"/>
      <c r="J48" s="10"/>
    </row>
    <row r="49" spans="1:10" ht="12.75">
      <c r="A49" s="21"/>
      <c r="B49" s="11"/>
      <c r="C49" s="12"/>
      <c r="D49" s="719">
        <v>15</v>
      </c>
      <c r="E49" s="720"/>
      <c r="F49" s="6"/>
      <c r="G49" s="16">
        <v>1.16</v>
      </c>
      <c r="H49" s="17"/>
      <c r="J49" s="10"/>
    </row>
    <row r="50" spans="1:10" ht="12.75">
      <c r="A50" s="21"/>
      <c r="B50" s="11"/>
      <c r="C50" s="12"/>
      <c r="D50" s="719">
        <v>20</v>
      </c>
      <c r="E50" s="720"/>
      <c r="F50" s="6"/>
      <c r="G50" s="16">
        <v>1.08</v>
      </c>
      <c r="H50" s="17"/>
      <c r="J50" s="10"/>
    </row>
    <row r="51" spans="1:10" ht="12.75">
      <c r="A51" s="21"/>
      <c r="B51" s="11"/>
      <c r="C51" s="12"/>
      <c r="D51" s="719">
        <v>25</v>
      </c>
      <c r="E51" s="720"/>
      <c r="F51" s="6"/>
      <c r="G51" s="16">
        <v>1.03</v>
      </c>
      <c r="H51" s="17"/>
      <c r="J51" s="10"/>
    </row>
    <row r="52" spans="1:10" ht="12.75">
      <c r="A52" s="21"/>
      <c r="B52" s="11"/>
      <c r="C52" s="12"/>
      <c r="D52" s="721">
        <v>30</v>
      </c>
      <c r="E52" s="722"/>
      <c r="F52" s="18"/>
      <c r="G52" s="19">
        <v>1</v>
      </c>
      <c r="H52" s="20"/>
      <c r="J52" s="10"/>
    </row>
    <row r="53" spans="1:10" ht="12.75">
      <c r="A53" s="21"/>
      <c r="B53" s="11"/>
      <c r="C53" s="12"/>
      <c r="D53" s="13"/>
      <c r="E53" s="13"/>
      <c r="F53" s="6"/>
      <c r="G53" s="16"/>
      <c r="H53" s="6"/>
      <c r="J53" s="10"/>
    </row>
    <row r="54" spans="1:11" ht="12.75">
      <c r="A54" s="21"/>
      <c r="B54" s="11"/>
      <c r="C54" s="483" t="s">
        <v>562</v>
      </c>
      <c r="D54" s="482"/>
      <c r="E54" s="482"/>
      <c r="F54" s="481"/>
      <c r="G54" s="484"/>
      <c r="H54" s="481"/>
      <c r="I54" s="481"/>
      <c r="J54" s="482"/>
      <c r="K54" s="481"/>
    </row>
    <row r="55" spans="1:11" ht="12.75">
      <c r="A55" s="21"/>
      <c r="B55" s="11"/>
      <c r="C55" s="483" t="s">
        <v>563</v>
      </c>
      <c r="D55" s="482"/>
      <c r="E55" s="482"/>
      <c r="F55" s="481"/>
      <c r="G55" s="484"/>
      <c r="H55" s="481"/>
      <c r="I55" s="481"/>
      <c r="J55" s="482"/>
      <c r="K55" s="481"/>
    </row>
    <row r="56" spans="1:11" ht="12.75">
      <c r="A56" s="21"/>
      <c r="B56" s="11"/>
      <c r="C56" s="483" t="s">
        <v>564</v>
      </c>
      <c r="D56" s="482"/>
      <c r="E56" s="482"/>
      <c r="F56" s="481"/>
      <c r="G56" s="484"/>
      <c r="H56" s="481"/>
      <c r="I56" s="481"/>
      <c r="J56" s="482"/>
      <c r="K56" s="481"/>
    </row>
    <row r="57" spans="1:11" ht="12.75">
      <c r="A57" s="21"/>
      <c r="B57" s="11"/>
      <c r="C57" s="483" t="s">
        <v>565</v>
      </c>
      <c r="D57" s="482"/>
      <c r="E57" s="482"/>
      <c r="F57" s="481"/>
      <c r="G57" s="484"/>
      <c r="H57" s="481"/>
      <c r="I57" s="481"/>
      <c r="J57" s="482"/>
      <c r="K57" s="481"/>
    </row>
    <row r="58" spans="1:11" ht="12.75">
      <c r="A58" s="21"/>
      <c r="B58" s="11"/>
      <c r="C58" s="483" t="s">
        <v>566</v>
      </c>
      <c r="D58" s="482"/>
      <c r="E58" s="482"/>
      <c r="F58" s="481"/>
      <c r="G58" s="484"/>
      <c r="H58" s="481"/>
      <c r="I58" s="481"/>
      <c r="J58" s="482"/>
      <c r="K58" s="481"/>
    </row>
    <row r="59" spans="1:11" ht="12.75">
      <c r="A59" s="21"/>
      <c r="B59" s="11"/>
      <c r="C59" s="483" t="s">
        <v>567</v>
      </c>
      <c r="D59" s="482"/>
      <c r="E59" s="482"/>
      <c r="F59" s="481"/>
      <c r="G59" s="484"/>
      <c r="H59" s="481"/>
      <c r="I59" s="481"/>
      <c r="J59" s="482"/>
      <c r="K59" s="481"/>
    </row>
    <row r="60" spans="1:11" ht="12.75">
      <c r="A60" s="21"/>
      <c r="B60" s="11"/>
      <c r="C60" s="483" t="s">
        <v>568</v>
      </c>
      <c r="D60" s="482"/>
      <c r="E60" s="482"/>
      <c r="F60" s="481"/>
      <c r="G60" s="484"/>
      <c r="H60" s="481"/>
      <c r="I60" s="481"/>
      <c r="J60" s="482"/>
      <c r="K60" s="481"/>
    </row>
    <row r="61" spans="1:10" ht="12.75">
      <c r="A61" s="21"/>
      <c r="B61" s="11"/>
      <c r="C61" s="12"/>
      <c r="D61" s="13"/>
      <c r="E61" s="13"/>
      <c r="F61" s="6"/>
      <c r="G61" s="16"/>
      <c r="H61" s="6"/>
      <c r="J61" s="10"/>
    </row>
    <row r="62" spans="1:10" ht="12.75">
      <c r="A62" s="21">
        <v>2</v>
      </c>
      <c r="B62" s="62" t="s">
        <v>83</v>
      </c>
      <c r="C62" s="12"/>
      <c r="D62" s="13"/>
      <c r="E62" s="13"/>
      <c r="F62" s="6"/>
      <c r="G62" s="16"/>
      <c r="H62" s="6"/>
      <c r="J62" s="10"/>
    </row>
    <row r="63" spans="1:10" ht="12.75">
      <c r="A63" s="21">
        <v>2.1</v>
      </c>
      <c r="B63" s="4" t="s">
        <v>75</v>
      </c>
      <c r="C63" s="12"/>
      <c r="D63" s="13"/>
      <c r="E63" s="13"/>
      <c r="F63" s="6"/>
      <c r="G63" s="16"/>
      <c r="H63" s="6"/>
      <c r="J63" s="10"/>
    </row>
    <row r="64" spans="1:11" ht="12.75">
      <c r="A64" s="21"/>
      <c r="B64" s="11"/>
      <c r="C64" s="483" t="s">
        <v>84</v>
      </c>
      <c r="D64" s="482"/>
      <c r="E64" s="482"/>
      <c r="F64" s="481"/>
      <c r="G64" s="484"/>
      <c r="H64" s="481"/>
      <c r="I64" s="481"/>
      <c r="J64" s="482"/>
      <c r="K64" s="481"/>
    </row>
    <row r="65" spans="1:11" ht="12.75">
      <c r="A65" s="21"/>
      <c r="B65" s="11"/>
      <c r="C65" s="483" t="s">
        <v>85</v>
      </c>
      <c r="D65" s="482"/>
      <c r="E65" s="482"/>
      <c r="F65" s="481"/>
      <c r="G65" s="484"/>
      <c r="H65" s="481"/>
      <c r="I65" s="481"/>
      <c r="J65" s="482"/>
      <c r="K65" s="481"/>
    </row>
    <row r="66" spans="1:10" ht="12.75">
      <c r="A66" s="21"/>
      <c r="B66" s="11"/>
      <c r="C66" s="63" t="s">
        <v>86</v>
      </c>
      <c r="D66" s="13"/>
      <c r="E66" s="13"/>
      <c r="F66" s="6"/>
      <c r="G66" s="16"/>
      <c r="H66" s="6"/>
      <c r="J66" s="10"/>
    </row>
    <row r="67" spans="1:10" ht="12.75">
      <c r="A67" s="21"/>
      <c r="B67" s="11"/>
      <c r="C67" s="12"/>
      <c r="D67" s="13"/>
      <c r="E67" s="13"/>
      <c r="F67" s="6"/>
      <c r="G67" s="16"/>
      <c r="H67" s="6"/>
      <c r="J67" s="10"/>
    </row>
    <row r="68" spans="1:10" ht="12.75">
      <c r="A68" s="21"/>
      <c r="B68" s="11"/>
      <c r="C68" s="12"/>
      <c r="D68" s="13"/>
      <c r="E68" s="13"/>
      <c r="F68" s="6"/>
      <c r="G68" s="16"/>
      <c r="H68" s="6"/>
      <c r="J68" s="10"/>
    </row>
    <row r="69" spans="1:10" ht="12.75">
      <c r="A69" s="21"/>
      <c r="B69" s="11"/>
      <c r="C69" s="12"/>
      <c r="D69" s="13"/>
      <c r="E69" s="13"/>
      <c r="F69" s="6"/>
      <c r="G69" s="16"/>
      <c r="H69" s="6"/>
      <c r="J69" s="10"/>
    </row>
    <row r="70" spans="1:10" ht="12.75">
      <c r="A70" s="21"/>
      <c r="B70" s="11"/>
      <c r="C70" s="12"/>
      <c r="D70" s="13"/>
      <c r="E70" s="13"/>
      <c r="F70" s="6"/>
      <c r="G70" s="16"/>
      <c r="H70" s="6"/>
      <c r="J70" s="10"/>
    </row>
    <row r="71" spans="1:10" ht="12.75">
      <c r="A71" s="21"/>
      <c r="B71" s="11"/>
      <c r="C71" s="12"/>
      <c r="D71" s="13"/>
      <c r="E71" s="13"/>
      <c r="F71" s="6"/>
      <c r="G71" s="16"/>
      <c r="H71" s="6"/>
      <c r="J71" s="10"/>
    </row>
    <row r="72" spans="1:10" ht="13.5" thickBot="1">
      <c r="A72" s="21"/>
      <c r="B72" s="11"/>
      <c r="C72" s="100" t="s">
        <v>315</v>
      </c>
      <c r="D72" s="13"/>
      <c r="E72" s="13"/>
      <c r="F72" s="6"/>
      <c r="G72" s="16"/>
      <c r="H72" s="6"/>
      <c r="J72" s="10"/>
    </row>
    <row r="73" spans="1:11" ht="12.75">
      <c r="A73" s="21"/>
      <c r="B73" s="44" t="s">
        <v>33</v>
      </c>
      <c r="C73" s="723" t="s">
        <v>354</v>
      </c>
      <c r="D73" s="724"/>
      <c r="E73" s="724"/>
      <c r="F73" s="724"/>
      <c r="G73" s="724"/>
      <c r="H73" s="724"/>
      <c r="I73" s="724"/>
      <c r="J73" s="724"/>
      <c r="K73" s="725"/>
    </row>
    <row r="74" spans="1:11" ht="12.75">
      <c r="A74" s="21"/>
      <c r="B74" s="36"/>
      <c r="C74" s="34">
        <v>10</v>
      </c>
      <c r="D74" s="34">
        <v>15</v>
      </c>
      <c r="E74" s="34">
        <v>20</v>
      </c>
      <c r="F74" s="34">
        <v>25</v>
      </c>
      <c r="G74" s="34">
        <v>30</v>
      </c>
      <c r="H74" s="34">
        <v>35</v>
      </c>
      <c r="I74" s="34">
        <v>40</v>
      </c>
      <c r="J74" s="34">
        <v>45</v>
      </c>
      <c r="K74" s="35">
        <v>50</v>
      </c>
    </row>
    <row r="75" spans="1:11" ht="12.75">
      <c r="A75" s="21"/>
      <c r="B75" s="45" t="s">
        <v>34</v>
      </c>
      <c r="C75" s="697" t="s">
        <v>35</v>
      </c>
      <c r="D75" s="698"/>
      <c r="E75" s="698"/>
      <c r="F75" s="698"/>
      <c r="G75" s="698"/>
      <c r="H75" s="698"/>
      <c r="I75" s="698"/>
      <c r="J75" s="698"/>
      <c r="K75" s="699"/>
    </row>
    <row r="76" spans="1:11" ht="12.75">
      <c r="A76" s="21"/>
      <c r="B76" s="36">
        <v>140</v>
      </c>
      <c r="C76" s="37">
        <v>155</v>
      </c>
      <c r="D76" s="37">
        <v>160</v>
      </c>
      <c r="E76" s="37">
        <v>170</v>
      </c>
      <c r="F76" s="37">
        <v>175</v>
      </c>
      <c r="G76" s="37">
        <v>180</v>
      </c>
      <c r="H76" s="37">
        <v>185</v>
      </c>
      <c r="I76" s="37">
        <v>200</v>
      </c>
      <c r="J76" s="37">
        <v>210</v>
      </c>
      <c r="K76" s="38">
        <v>220</v>
      </c>
    </row>
    <row r="77" spans="1:11" ht="12.75">
      <c r="A77" s="21"/>
      <c r="B77" s="36">
        <v>175</v>
      </c>
      <c r="C77" s="37">
        <v>190</v>
      </c>
      <c r="D77" s="37">
        <v>195</v>
      </c>
      <c r="E77" s="37">
        <v>205</v>
      </c>
      <c r="F77" s="37">
        <v>210</v>
      </c>
      <c r="G77" s="37">
        <v>215</v>
      </c>
      <c r="H77" s="37">
        <v>220</v>
      </c>
      <c r="I77" s="37">
        <v>235</v>
      </c>
      <c r="J77" s="37">
        <v>245</v>
      </c>
      <c r="K77" s="38">
        <v>255</v>
      </c>
    </row>
    <row r="78" spans="1:11" ht="12.75">
      <c r="A78" s="21"/>
      <c r="B78" s="36">
        <v>210</v>
      </c>
      <c r="C78" s="37">
        <v>225</v>
      </c>
      <c r="D78" s="37">
        <v>230</v>
      </c>
      <c r="E78" s="37">
        <v>240</v>
      </c>
      <c r="F78" s="37">
        <v>245</v>
      </c>
      <c r="G78" s="37">
        <v>250</v>
      </c>
      <c r="H78" s="37">
        <v>255</v>
      </c>
      <c r="I78" s="37">
        <v>270</v>
      </c>
      <c r="J78" s="37">
        <v>280</v>
      </c>
      <c r="K78" s="38">
        <v>290</v>
      </c>
    </row>
    <row r="79" spans="1:11" ht="12.75">
      <c r="A79" s="21"/>
      <c r="B79" s="36">
        <v>245</v>
      </c>
      <c r="C79" s="37">
        <v>260</v>
      </c>
      <c r="D79" s="37">
        <v>265</v>
      </c>
      <c r="E79" s="37">
        <v>275</v>
      </c>
      <c r="F79" s="37">
        <v>280</v>
      </c>
      <c r="G79" s="37">
        <v>285</v>
      </c>
      <c r="H79" s="37">
        <v>290</v>
      </c>
      <c r="I79" s="37">
        <v>305</v>
      </c>
      <c r="J79" s="37">
        <v>315</v>
      </c>
      <c r="K79" s="38">
        <v>325</v>
      </c>
    </row>
    <row r="80" spans="1:11" ht="12.75">
      <c r="A80" s="21"/>
      <c r="B80" s="36">
        <v>280</v>
      </c>
      <c r="C80" s="37">
        <v>295</v>
      </c>
      <c r="D80" s="37">
        <v>300</v>
      </c>
      <c r="E80" s="37">
        <v>310</v>
      </c>
      <c r="F80" s="37">
        <v>315</v>
      </c>
      <c r="G80" s="37">
        <v>320</v>
      </c>
      <c r="H80" s="37">
        <v>325</v>
      </c>
      <c r="I80" s="37">
        <v>340</v>
      </c>
      <c r="J80" s="37">
        <v>350</v>
      </c>
      <c r="K80" s="38">
        <v>360</v>
      </c>
    </row>
    <row r="81" spans="1:11" ht="13.5" thickBot="1">
      <c r="A81" s="21"/>
      <c r="B81" s="46">
        <v>350</v>
      </c>
      <c r="C81" s="42">
        <v>365</v>
      </c>
      <c r="D81" s="42">
        <v>370</v>
      </c>
      <c r="E81" s="42">
        <v>380</v>
      </c>
      <c r="F81" s="42">
        <v>385</v>
      </c>
      <c r="G81" s="42">
        <v>390</v>
      </c>
      <c r="H81" s="42">
        <v>395</v>
      </c>
      <c r="I81" s="42">
        <v>410</v>
      </c>
      <c r="J81" s="42">
        <v>420</v>
      </c>
      <c r="K81" s="43">
        <v>430</v>
      </c>
    </row>
    <row r="82" spans="1:10" ht="12.75">
      <c r="A82" s="21"/>
      <c r="B82" s="11"/>
      <c r="C82" s="12"/>
      <c r="D82" s="13"/>
      <c r="E82" s="13"/>
      <c r="F82" s="6"/>
      <c r="G82" s="16"/>
      <c r="H82" s="6"/>
      <c r="J82" s="10"/>
    </row>
    <row r="83" spans="1:12" ht="12.75">
      <c r="A83" s="21">
        <v>2.2</v>
      </c>
      <c r="B83" s="4" t="s">
        <v>82</v>
      </c>
      <c r="C83" s="4"/>
      <c r="D83" s="485" t="s">
        <v>88</v>
      </c>
      <c r="E83" s="485"/>
      <c r="F83" s="485"/>
      <c r="G83" s="485"/>
      <c r="H83" s="485"/>
      <c r="I83" s="485"/>
      <c r="J83" s="485"/>
      <c r="K83" s="485"/>
      <c r="L83" s="64"/>
    </row>
    <row r="84" spans="1:10" ht="12.75">
      <c r="A84" s="21"/>
      <c r="B84" s="11"/>
      <c r="C84" s="12"/>
      <c r="D84" s="13"/>
      <c r="E84" s="13"/>
      <c r="F84" s="6"/>
      <c r="G84" s="16"/>
      <c r="H84" s="6"/>
      <c r="J84" s="10"/>
    </row>
    <row r="85" spans="1:10" ht="12.75">
      <c r="A85" s="21"/>
      <c r="B85" s="11"/>
      <c r="C85" s="12"/>
      <c r="D85" s="6"/>
      <c r="E85" s="705" t="s">
        <v>316</v>
      </c>
      <c r="F85" s="705"/>
      <c r="G85" s="6"/>
      <c r="H85" s="6"/>
      <c r="J85" s="10"/>
    </row>
    <row r="86" spans="1:10" ht="12.75">
      <c r="A86" s="21"/>
      <c r="B86" s="11"/>
      <c r="C86" s="12"/>
      <c r="D86" s="703" t="s">
        <v>89</v>
      </c>
      <c r="E86" s="704"/>
      <c r="F86" s="65" t="s">
        <v>90</v>
      </c>
      <c r="G86" s="66"/>
      <c r="H86" s="6"/>
      <c r="J86" s="10"/>
    </row>
    <row r="87" spans="1:10" ht="12.75">
      <c r="A87" s="21"/>
      <c r="B87" s="11"/>
      <c r="C87" s="12"/>
      <c r="D87" s="695" t="s">
        <v>91</v>
      </c>
      <c r="E87" s="696"/>
      <c r="F87" s="67" t="s">
        <v>92</v>
      </c>
      <c r="G87" s="68">
        <v>70</v>
      </c>
      <c r="H87" s="6"/>
      <c r="J87" s="10"/>
    </row>
    <row r="88" spans="1:10" ht="12.75">
      <c r="A88" s="21"/>
      <c r="B88" s="11"/>
      <c r="C88" s="12"/>
      <c r="D88" s="695" t="s">
        <v>93</v>
      </c>
      <c r="E88" s="696"/>
      <c r="F88" s="67" t="s">
        <v>92</v>
      </c>
      <c r="G88" s="68">
        <v>84</v>
      </c>
      <c r="H88" s="6"/>
      <c r="J88" s="10"/>
    </row>
    <row r="89" spans="1:10" ht="12.75">
      <c r="A89" s="21"/>
      <c r="B89" s="11"/>
      <c r="C89" s="12"/>
      <c r="D89" s="695" t="s">
        <v>94</v>
      </c>
      <c r="E89" s="696"/>
      <c r="F89" s="67" t="s">
        <v>92</v>
      </c>
      <c r="G89" s="68">
        <v>98</v>
      </c>
      <c r="H89" s="6"/>
      <c r="J89" s="10"/>
    </row>
    <row r="90" spans="1:10" ht="12.75">
      <c r="A90" s="21"/>
      <c r="B90" s="11"/>
      <c r="C90" s="12"/>
      <c r="D90" s="13"/>
      <c r="E90" s="13"/>
      <c r="F90" s="6"/>
      <c r="G90" s="16"/>
      <c r="H90" s="6"/>
      <c r="J90" s="10"/>
    </row>
    <row r="91" spans="1:11" ht="12.75">
      <c r="A91" s="21">
        <v>2.3</v>
      </c>
      <c r="B91" s="4" t="s">
        <v>87</v>
      </c>
      <c r="C91" s="486"/>
      <c r="D91" s="481" t="s">
        <v>570</v>
      </c>
      <c r="E91" s="486"/>
      <c r="F91" s="481"/>
      <c r="G91" s="486"/>
      <c r="H91" s="481"/>
      <c r="I91" s="481"/>
      <c r="J91" s="482"/>
      <c r="K91" s="481"/>
    </row>
    <row r="92" spans="1:11" ht="12.75">
      <c r="A92" s="21"/>
      <c r="B92" s="4"/>
      <c r="C92" s="481" t="s">
        <v>571</v>
      </c>
      <c r="D92" s="486"/>
      <c r="E92" s="486"/>
      <c r="F92" s="481"/>
      <c r="G92" s="486"/>
      <c r="H92" s="667" t="s">
        <v>112</v>
      </c>
      <c r="I92" s="668"/>
      <c r="J92" s="668"/>
      <c r="K92" s="669"/>
    </row>
    <row r="93" spans="1:11" ht="12.75">
      <c r="A93" s="21"/>
      <c r="B93" s="4"/>
      <c r="C93" s="481" t="s">
        <v>572</v>
      </c>
      <c r="D93" s="486"/>
      <c r="E93" s="486"/>
      <c r="F93" s="481"/>
      <c r="G93" s="486"/>
      <c r="H93" s="481"/>
      <c r="I93" s="481"/>
      <c r="J93" s="482"/>
      <c r="K93" s="481"/>
    </row>
    <row r="94" spans="1:10" ht="12.75">
      <c r="A94" s="21"/>
      <c r="B94" s="4"/>
      <c r="C94" s="4"/>
      <c r="D94" s="4"/>
      <c r="E94" s="4"/>
      <c r="F94" s="6"/>
      <c r="G94" s="4"/>
      <c r="H94" s="6"/>
      <c r="J94" s="10"/>
    </row>
    <row r="95" spans="1:10" ht="12.75">
      <c r="A95" s="21"/>
      <c r="B95" s="4"/>
      <c r="C95" s="4"/>
      <c r="D95" s="4"/>
      <c r="E95" s="4"/>
      <c r="F95" s="6"/>
      <c r="G95" s="4"/>
      <c r="H95" s="6"/>
      <c r="J95" s="10"/>
    </row>
    <row r="96" spans="1:10" ht="12.75">
      <c r="A96" s="21"/>
      <c r="B96" s="4"/>
      <c r="C96" s="4"/>
      <c r="D96" s="4"/>
      <c r="E96" s="4"/>
      <c r="F96" s="6"/>
      <c r="G96" s="4"/>
      <c r="H96" s="6"/>
      <c r="J96" s="10"/>
    </row>
    <row r="97" spans="1:10" ht="12.75">
      <c r="A97" s="21"/>
      <c r="B97" s="4"/>
      <c r="C97" s="4"/>
      <c r="D97" s="4"/>
      <c r="E97" s="4"/>
      <c r="F97" s="6"/>
      <c r="G97" s="4"/>
      <c r="H97" s="6"/>
      <c r="J97" s="10"/>
    </row>
    <row r="98" spans="1:10" ht="12.75">
      <c r="A98" s="21"/>
      <c r="B98" s="4"/>
      <c r="C98" s="4"/>
      <c r="D98" s="4"/>
      <c r="E98" s="4"/>
      <c r="F98" s="6"/>
      <c r="G98" s="4"/>
      <c r="H98" s="6"/>
      <c r="J98" s="10"/>
    </row>
    <row r="99" spans="1:10" ht="12.75">
      <c r="A99" s="21"/>
      <c r="B99" s="4"/>
      <c r="C99" s="482" t="s">
        <v>573</v>
      </c>
      <c r="D99" s="481" t="s">
        <v>574</v>
      </c>
      <c r="E99" s="486"/>
      <c r="F99" s="481"/>
      <c r="G99" s="486"/>
      <c r="H99" s="481"/>
      <c r="I99" s="481"/>
      <c r="J99" s="10"/>
    </row>
    <row r="100" spans="1:10" ht="12.75">
      <c r="A100" s="21"/>
      <c r="B100" s="4"/>
      <c r="C100" s="482" t="s">
        <v>575</v>
      </c>
      <c r="D100" s="481" t="s">
        <v>576</v>
      </c>
      <c r="E100" s="486"/>
      <c r="F100" s="481"/>
      <c r="G100" s="486"/>
      <c r="H100" s="481"/>
      <c r="I100" s="481"/>
      <c r="J100" s="10"/>
    </row>
    <row r="101" spans="1:10" ht="12.75">
      <c r="A101" s="21"/>
      <c r="B101" s="4"/>
      <c r="C101" s="482" t="s">
        <v>558</v>
      </c>
      <c r="D101" s="481" t="s">
        <v>559</v>
      </c>
      <c r="E101" s="486"/>
      <c r="F101" s="481"/>
      <c r="G101" s="486"/>
      <c r="H101" s="481"/>
      <c r="I101" s="481"/>
      <c r="J101" s="10"/>
    </row>
    <row r="102" spans="1:12" ht="12.75">
      <c r="A102" s="14"/>
      <c r="B102" s="6"/>
      <c r="C102" s="13"/>
      <c r="D102" s="6"/>
      <c r="E102" s="6"/>
      <c r="F102" s="6"/>
      <c r="G102" s="6"/>
      <c r="H102" s="6"/>
      <c r="I102" s="6"/>
      <c r="J102" s="13"/>
      <c r="K102" s="6"/>
      <c r="L102" s="6"/>
    </row>
    <row r="103" spans="1:12" ht="12.75">
      <c r="A103" s="14"/>
      <c r="B103" s="6"/>
      <c r="C103" s="6" t="s">
        <v>577</v>
      </c>
      <c r="D103" s="6"/>
      <c r="E103" s="6"/>
      <c r="F103" s="6"/>
      <c r="G103" s="6"/>
      <c r="H103" s="6"/>
      <c r="I103" s="6"/>
      <c r="J103" s="13"/>
      <c r="K103" s="6"/>
      <c r="L103" s="6"/>
    </row>
    <row r="104" spans="1:12" ht="12.75">
      <c r="A104" s="14"/>
      <c r="B104" s="6"/>
      <c r="C104" s="6"/>
      <c r="D104" s="6"/>
      <c r="E104" s="6"/>
      <c r="F104" s="6"/>
      <c r="G104" s="6"/>
      <c r="H104" s="6"/>
      <c r="I104" s="6"/>
      <c r="J104" s="13"/>
      <c r="K104" s="6"/>
      <c r="L104" s="6"/>
    </row>
    <row r="105" spans="1:12" ht="12.75">
      <c r="A105" s="14"/>
      <c r="B105" s="6"/>
      <c r="C105" s="6"/>
      <c r="D105" s="6"/>
      <c r="E105" s="6"/>
      <c r="F105" s="6"/>
      <c r="G105" s="6"/>
      <c r="H105" s="6"/>
      <c r="I105" s="6"/>
      <c r="J105" s="13"/>
      <c r="K105" s="6"/>
      <c r="L105" s="6"/>
    </row>
    <row r="106" spans="1:12" ht="12.75">
      <c r="A106" s="14"/>
      <c r="B106" s="6"/>
      <c r="C106" s="481" t="s">
        <v>578</v>
      </c>
      <c r="D106" s="481"/>
      <c r="E106" s="481"/>
      <c r="F106" s="481"/>
      <c r="G106" s="481"/>
      <c r="H106" s="481"/>
      <c r="I106" s="481"/>
      <c r="J106" s="482"/>
      <c r="K106" s="481"/>
      <c r="L106" s="6"/>
    </row>
    <row r="107" spans="1:12" ht="12.75">
      <c r="A107" s="14"/>
      <c r="B107" s="6"/>
      <c r="C107" s="481" t="s">
        <v>579</v>
      </c>
      <c r="D107" s="481" t="s">
        <v>580</v>
      </c>
      <c r="E107" s="481"/>
      <c r="F107" s="481"/>
      <c r="G107" s="481"/>
      <c r="H107" s="481"/>
      <c r="I107" s="481"/>
      <c r="J107" s="482"/>
      <c r="K107" s="481"/>
      <c r="L107" s="6"/>
    </row>
    <row r="108" spans="1:12" ht="12.75">
      <c r="A108" s="14"/>
      <c r="B108" s="6"/>
      <c r="C108" s="481" t="s">
        <v>473</v>
      </c>
      <c r="D108" s="481" t="s">
        <v>581</v>
      </c>
      <c r="E108" s="481"/>
      <c r="F108" s="481"/>
      <c r="G108" s="481"/>
      <c r="H108" s="481"/>
      <c r="I108" s="481"/>
      <c r="J108" s="482"/>
      <c r="K108" s="481"/>
      <c r="L108" s="6"/>
    </row>
    <row r="109" spans="1:12" ht="12.75">
      <c r="A109" s="14"/>
      <c r="B109" s="6"/>
      <c r="C109" s="481" t="s">
        <v>582</v>
      </c>
      <c r="D109" s="481" t="s">
        <v>583</v>
      </c>
      <c r="E109" s="481"/>
      <c r="F109" s="481"/>
      <c r="G109" s="481"/>
      <c r="H109" s="481"/>
      <c r="I109" s="481"/>
      <c r="J109" s="482"/>
      <c r="K109" s="481"/>
      <c r="L109" s="6"/>
    </row>
    <row r="110" spans="1:12" ht="12.75">
      <c r="A110" s="14"/>
      <c r="B110" s="6"/>
      <c r="C110" s="481"/>
      <c r="D110" s="481" t="s">
        <v>584</v>
      </c>
      <c r="E110" s="481"/>
      <c r="F110" s="481"/>
      <c r="G110" s="481"/>
      <c r="H110" s="481"/>
      <c r="I110" s="481"/>
      <c r="J110" s="482"/>
      <c r="K110" s="481"/>
      <c r="L110" s="6"/>
    </row>
    <row r="111" spans="1:12" ht="12.75">
      <c r="A111" s="14"/>
      <c r="B111" s="6"/>
      <c r="C111" s="481"/>
      <c r="D111" s="481"/>
      <c r="E111" s="481"/>
      <c r="F111" s="481"/>
      <c r="G111" s="481"/>
      <c r="H111" s="481"/>
      <c r="I111" s="481"/>
      <c r="J111" s="482"/>
      <c r="K111" s="481"/>
      <c r="L111" s="6"/>
    </row>
    <row r="112" spans="1:12" ht="12.75">
      <c r="A112" s="14"/>
      <c r="B112" s="486" t="s">
        <v>585</v>
      </c>
      <c r="C112" s="481"/>
      <c r="D112" s="481"/>
      <c r="E112" s="481"/>
      <c r="F112" s="481"/>
      <c r="G112" s="481"/>
      <c r="H112" s="481"/>
      <c r="I112" s="487"/>
      <c r="J112" s="482"/>
      <c r="K112" s="481"/>
      <c r="L112" s="6"/>
    </row>
    <row r="113" spans="1:12" ht="12.75">
      <c r="A113" s="14"/>
      <c r="B113" s="6"/>
      <c r="C113" s="486" t="s">
        <v>586</v>
      </c>
      <c r="D113" s="481"/>
      <c r="E113" s="481"/>
      <c r="F113" s="481"/>
      <c r="G113" s="481"/>
      <c r="H113" s="481"/>
      <c r="I113" s="481"/>
      <c r="J113" s="482"/>
      <c r="K113" s="481"/>
      <c r="L113" s="6"/>
    </row>
    <row r="114" spans="1:12" ht="12.75">
      <c r="A114" s="14"/>
      <c r="B114" s="6"/>
      <c r="C114" s="6"/>
      <c r="D114" s="6"/>
      <c r="E114" s="6"/>
      <c r="F114" s="6"/>
      <c r="G114" s="6"/>
      <c r="H114" s="6"/>
      <c r="I114" s="6"/>
      <c r="J114" s="13"/>
      <c r="K114" s="6"/>
      <c r="L114" s="6"/>
    </row>
    <row r="115" spans="1:12" ht="12.75">
      <c r="A115" s="14"/>
      <c r="B115" s="6"/>
      <c r="C115" s="6"/>
      <c r="D115" s="6"/>
      <c r="E115" s="6"/>
      <c r="F115" s="6"/>
      <c r="G115" s="6"/>
      <c r="H115" s="6"/>
      <c r="I115" s="6"/>
      <c r="J115" s="13"/>
      <c r="K115" s="6"/>
      <c r="L115" s="6"/>
    </row>
    <row r="116" spans="1:12" ht="12.75">
      <c r="A116" s="14"/>
      <c r="B116" s="6"/>
      <c r="C116" s="6"/>
      <c r="D116" s="6"/>
      <c r="E116" s="6"/>
      <c r="F116" s="6"/>
      <c r="G116" s="6"/>
      <c r="H116" s="6"/>
      <c r="I116" s="6"/>
      <c r="J116" s="13"/>
      <c r="K116" s="6"/>
      <c r="L116" s="6"/>
    </row>
    <row r="117" spans="1:12" ht="12.75">
      <c r="A117" s="14"/>
      <c r="B117" s="6"/>
      <c r="C117" s="6"/>
      <c r="D117" s="6"/>
      <c r="E117" s="6"/>
      <c r="F117" s="6"/>
      <c r="G117" s="6"/>
      <c r="H117" s="6"/>
      <c r="I117" s="6"/>
      <c r="J117" s="13"/>
      <c r="K117" s="6"/>
      <c r="L117" s="6"/>
    </row>
    <row r="118" spans="1:12" ht="12.75">
      <c r="A118" s="101"/>
      <c r="B118" s="62"/>
      <c r="C118" s="4"/>
      <c r="D118" s="4"/>
      <c r="E118" s="4"/>
      <c r="F118" s="6"/>
      <c r="G118" s="4"/>
      <c r="H118" s="6"/>
      <c r="J118" s="10"/>
      <c r="L118" s="7"/>
    </row>
    <row r="119" spans="1:12" ht="12.75">
      <c r="A119" s="101"/>
      <c r="B119" s="62"/>
      <c r="C119" s="4"/>
      <c r="D119" s="4"/>
      <c r="E119" s="4"/>
      <c r="F119" s="6"/>
      <c r="G119" s="4"/>
      <c r="H119" s="6"/>
      <c r="J119" s="10"/>
      <c r="L119" s="7"/>
    </row>
    <row r="120" spans="1:12" ht="13.5" thickBot="1">
      <c r="A120" s="101">
        <v>3.1</v>
      </c>
      <c r="B120" s="62" t="s">
        <v>587</v>
      </c>
      <c r="C120" s="4"/>
      <c r="D120" s="4"/>
      <c r="E120" s="4"/>
      <c r="F120" s="6"/>
      <c r="G120" s="4"/>
      <c r="H120" s="6"/>
      <c r="J120" s="10"/>
      <c r="L120" s="7"/>
    </row>
    <row r="121" spans="1:12" ht="13.5" thickTop="1">
      <c r="A121" s="101"/>
      <c r="B121" s="454"/>
      <c r="C121" s="455"/>
      <c r="D121" s="455"/>
      <c r="E121" s="455"/>
      <c r="F121" s="456"/>
      <c r="G121" s="455"/>
      <c r="H121" s="457"/>
      <c r="I121" s="663"/>
      <c r="J121" s="663"/>
      <c r="K121" s="664"/>
      <c r="L121" s="7"/>
    </row>
    <row r="122" spans="1:12" ht="12.75">
      <c r="A122" s="21"/>
      <c r="B122" s="458" t="s">
        <v>520</v>
      </c>
      <c r="C122" s="651">
        <f ca="1">TODAY()</f>
        <v>40825</v>
      </c>
      <c r="D122" s="336"/>
      <c r="E122" s="336"/>
      <c r="F122" s="337"/>
      <c r="G122" s="336"/>
      <c r="H122" s="459"/>
      <c r="I122" s="665"/>
      <c r="J122" s="665"/>
      <c r="K122" s="666"/>
      <c r="L122" s="7"/>
    </row>
    <row r="123" spans="1:12" ht="12.75">
      <c r="A123" s="21"/>
      <c r="B123" s="460"/>
      <c r="C123" s="336"/>
      <c r="D123" s="337"/>
      <c r="E123" s="337"/>
      <c r="F123" s="337"/>
      <c r="G123" s="336"/>
      <c r="H123" s="459"/>
      <c r="I123" s="665"/>
      <c r="J123" s="665"/>
      <c r="K123" s="666"/>
      <c r="L123" s="7"/>
    </row>
    <row r="124" spans="1:12" ht="12.75">
      <c r="A124" s="21"/>
      <c r="B124" s="460"/>
      <c r="C124" s="336"/>
      <c r="D124" s="337"/>
      <c r="E124" s="337"/>
      <c r="F124" s="337"/>
      <c r="G124" s="336"/>
      <c r="H124" s="459"/>
      <c r="I124" s="448"/>
      <c r="J124" s="449"/>
      <c r="K124" s="450"/>
      <c r="L124" s="7"/>
    </row>
    <row r="125" spans="1:12" ht="12.75">
      <c r="A125" s="21"/>
      <c r="B125" s="460"/>
      <c r="C125" s="336"/>
      <c r="D125" s="337"/>
      <c r="E125" s="337"/>
      <c r="F125" s="337"/>
      <c r="G125" s="747">
        <v>35</v>
      </c>
      <c r="H125" s="748"/>
      <c r="I125" s="448"/>
      <c r="J125" s="449"/>
      <c r="K125" s="451"/>
      <c r="L125" s="7"/>
    </row>
    <row r="126" spans="1:12" ht="13.5" thickBot="1">
      <c r="A126" s="21"/>
      <c r="B126" s="461"/>
      <c r="C126" s="462"/>
      <c r="D126" s="463"/>
      <c r="E126" s="463"/>
      <c r="F126" s="463"/>
      <c r="G126" s="462"/>
      <c r="H126" s="464"/>
      <c r="I126" s="465"/>
      <c r="J126" s="452"/>
      <c r="K126" s="453"/>
      <c r="L126" s="7"/>
    </row>
    <row r="127" spans="1:12" ht="14.25" customHeight="1" thickTop="1">
      <c r="A127" s="21"/>
      <c r="B127" s="5"/>
      <c r="C127" s="22" t="str">
        <f>+IF(OR(E127=1,E127=3),"DIGITE 00","INGRESE DATOS")</f>
        <v>INGRESE DATOS</v>
      </c>
      <c r="D127" s="5"/>
      <c r="E127" s="650">
        <v>2</v>
      </c>
      <c r="F127" s="6"/>
      <c r="G127" s="5"/>
      <c r="H127" s="5"/>
      <c r="I127" s="22" t="str">
        <f>+IF(OR(E127=1,E127=3),"DIGITE 00","INGRESE DATOS")</f>
        <v>INGRESE DATOS</v>
      </c>
      <c r="J127" s="5"/>
      <c r="K127" s="138" t="s">
        <v>2</v>
      </c>
      <c r="L127" s="22"/>
    </row>
    <row r="128" spans="1:12" ht="12.75">
      <c r="A128" s="21"/>
      <c r="B128" s="5"/>
      <c r="C128" s="22"/>
      <c r="D128" s="5"/>
      <c r="E128" s="494">
        <v>39871</v>
      </c>
      <c r="F128" s="24" t="s">
        <v>374</v>
      </c>
      <c r="G128" s="137"/>
      <c r="H128" s="5"/>
      <c r="I128" s="22"/>
      <c r="J128" s="5"/>
      <c r="K128" s="494">
        <v>39915</v>
      </c>
      <c r="L128" s="22"/>
    </row>
    <row r="129" spans="1:12" ht="13.5" thickBot="1">
      <c r="A129" s="6"/>
      <c r="B129" s="5"/>
      <c r="C129" s="6"/>
      <c r="D129" s="6"/>
      <c r="E129" s="6"/>
      <c r="F129" s="6"/>
      <c r="G129" s="4"/>
      <c r="H129" s="5"/>
      <c r="J129" s="10"/>
      <c r="L129" s="7"/>
    </row>
    <row r="130" spans="1:11" ht="12.75">
      <c r="A130" s="744" t="s">
        <v>324</v>
      </c>
      <c r="B130" s="745"/>
      <c r="C130" s="745"/>
      <c r="D130" s="745"/>
      <c r="E130" s="746"/>
      <c r="F130" s="139" t="s">
        <v>2</v>
      </c>
      <c r="G130" s="744" t="s">
        <v>325</v>
      </c>
      <c r="H130" s="745"/>
      <c r="I130" s="745"/>
      <c r="J130" s="745"/>
      <c r="K130" s="746"/>
    </row>
    <row r="131" spans="1:11" ht="15.75" thickBot="1">
      <c r="A131" s="141" t="s">
        <v>95</v>
      </c>
      <c r="B131" s="425" t="s">
        <v>519</v>
      </c>
      <c r="C131" s="108" t="s">
        <v>96</v>
      </c>
      <c r="D131" s="42" t="s">
        <v>97</v>
      </c>
      <c r="E131" s="43" t="s">
        <v>98</v>
      </c>
      <c r="F131" s="3"/>
      <c r="G131" s="142" t="s">
        <v>95</v>
      </c>
      <c r="H131" s="425" t="s">
        <v>519</v>
      </c>
      <c r="I131" s="108" t="s">
        <v>96</v>
      </c>
      <c r="J131" s="42" t="s">
        <v>97</v>
      </c>
      <c r="K131" s="43" t="s">
        <v>98</v>
      </c>
    </row>
    <row r="132" spans="1:11" ht="12.75">
      <c r="A132" s="102">
        <f>IF(AND($E$127=2,C132&gt;=($E$173-35)),$E$127-1,"")</f>
        <v>1</v>
      </c>
      <c r="B132" s="149">
        <f>IF(AND($E$127=2,C132&gt;=($E$173-35)),C132-$E$173,"")</f>
        <v>12</v>
      </c>
      <c r="C132" s="495">
        <v>222</v>
      </c>
      <c r="D132" s="105">
        <f>IF(AND($E$127=2,C132&gt;=1,$E$166&gt;14),(C132-$E$168),"")</f>
        <v>4.849999999999994</v>
      </c>
      <c r="E132" s="104">
        <f>IF(AND($E$127=2,C132&gt;=1,$E$166&gt;14),D132*D132,"")</f>
        <v>23.522499999999944</v>
      </c>
      <c r="F132" s="3"/>
      <c r="G132" s="102">
        <f>IF(AND($E$127=2,I132&gt;=($E$173-35)),$E$127-1,"")</f>
        <v>1</v>
      </c>
      <c r="H132" s="149">
        <f>IF(AND($E$127=2,I132&gt;=($E$173-35)),I132-$E$173,"")</f>
        <v>15</v>
      </c>
      <c r="I132" s="496">
        <v>225</v>
      </c>
      <c r="J132" s="105">
        <f aca="true" t="shared" si="0" ref="J132:J138">IF(AND($E$127=2,$K$166&gt;5,$E$166&gt;14,I132&gt;1),(I132-$K$168),"")</f>
        <v>5.47999999999999</v>
      </c>
      <c r="K132" s="104">
        <f aca="true" t="shared" si="1" ref="K132:K137">IF(AND($E$127=2,$E$166&gt;14,$K$166&gt;5,I132&gt;1),J132*J132,"")</f>
        <v>30.030399999999887</v>
      </c>
    </row>
    <row r="133" spans="1:11" ht="12.75">
      <c r="A133" s="102">
        <f>IF(AND($E$127=2,C133&gt;=($E$173-35)),A132+1,"")</f>
        <v>2</v>
      </c>
      <c r="B133" s="149">
        <f>IF(AND($E$127=2,C133&gt;=($E$173-35)),C133-$E$173,"")</f>
        <v>20</v>
      </c>
      <c r="C133" s="495">
        <v>230</v>
      </c>
      <c r="D133" s="105">
        <f aca="true" t="shared" si="2" ref="D133:D164">IF(AND($E$127=2,C133&gt;=1,$E$166&gt;14),(C133-$E$168),"")</f>
        <v>12.849999999999994</v>
      </c>
      <c r="E133" s="104">
        <f aca="true" t="shared" si="3" ref="E133:E164">IF(AND($E$127=2,C133&gt;=1,$E$166&gt;14),D133*D133,"")</f>
        <v>165.12249999999986</v>
      </c>
      <c r="F133" s="3"/>
      <c r="G133" s="102">
        <f>IF(AND($E$127=2,I133&gt;=($E$173-35)),G132+1,"")</f>
        <v>2</v>
      </c>
      <c r="H133" s="149">
        <f>IF(AND($E$127=2,I133&gt;=($E$173-35)),I133-$E$173,"")</f>
        <v>22</v>
      </c>
      <c r="I133" s="496">
        <v>232</v>
      </c>
      <c r="J133" s="105">
        <f t="shared" si="0"/>
        <v>12.47999999999999</v>
      </c>
      <c r="K133" s="104">
        <f t="shared" si="1"/>
        <v>155.75039999999976</v>
      </c>
    </row>
    <row r="134" spans="1:11" ht="12.75">
      <c r="A134" s="102">
        <f aca="true" t="shared" si="4" ref="A134:A164">IF(AND($E$127=2,C134&gt;=($E$173-35)),A133+1,"")</f>
        <v>3</v>
      </c>
      <c r="B134" s="149">
        <f aca="true" t="shared" si="5" ref="B134:B164">IF(AND($E$127=2,C134&gt;=($E$173-35)),C134-$E$173,"")</f>
        <v>1</v>
      </c>
      <c r="C134" s="495">
        <v>211</v>
      </c>
      <c r="D134" s="105">
        <f t="shared" si="2"/>
        <v>-6.150000000000006</v>
      </c>
      <c r="E134" s="104">
        <f t="shared" si="3"/>
        <v>37.82250000000007</v>
      </c>
      <c r="F134" s="3"/>
      <c r="G134" s="102">
        <f aca="true" t="shared" si="6" ref="G134:G164">IF(AND($E$127=2,I134&gt;=($E$173-35)),G133+1,"")</f>
        <v>3</v>
      </c>
      <c r="H134" s="149">
        <f aca="true" t="shared" si="7" ref="H134:H164">IF(AND($E$127=2,I134&gt;=($E$173-35)),I134-$E$173,"")</f>
        <v>2</v>
      </c>
      <c r="I134" s="496">
        <v>212</v>
      </c>
      <c r="J134" s="105">
        <f t="shared" si="0"/>
        <v>-7.52000000000001</v>
      </c>
      <c r="K134" s="104">
        <f t="shared" si="1"/>
        <v>56.55040000000015</v>
      </c>
    </row>
    <row r="135" spans="1:11" ht="12.75">
      <c r="A135" s="102">
        <f t="shared" si="4"/>
        <v>4</v>
      </c>
      <c r="B135" s="149">
        <f t="shared" si="5"/>
        <v>2</v>
      </c>
      <c r="C135" s="495">
        <v>212</v>
      </c>
      <c r="D135" s="105">
        <f t="shared" si="2"/>
        <v>-5.150000000000006</v>
      </c>
      <c r="E135" s="104">
        <f t="shared" si="3"/>
        <v>26.522500000000058</v>
      </c>
      <c r="F135" s="3"/>
      <c r="G135" s="102">
        <f t="shared" si="6"/>
        <v>4</v>
      </c>
      <c r="H135" s="149">
        <f t="shared" si="7"/>
        <v>6</v>
      </c>
      <c r="I135" s="496">
        <v>216</v>
      </c>
      <c r="J135" s="105">
        <f t="shared" si="0"/>
        <v>-3.5200000000000102</v>
      </c>
      <c r="K135" s="104">
        <f t="shared" si="1"/>
        <v>12.390400000000072</v>
      </c>
    </row>
    <row r="136" spans="1:11" ht="12.75">
      <c r="A136" s="102">
        <f t="shared" si="4"/>
        <v>5</v>
      </c>
      <c r="B136" s="149">
        <f t="shared" si="5"/>
        <v>4</v>
      </c>
      <c r="C136" s="495">
        <v>214</v>
      </c>
      <c r="D136" s="105">
        <f t="shared" si="2"/>
        <v>-3.1500000000000057</v>
      </c>
      <c r="E136" s="104">
        <f t="shared" si="3"/>
        <v>9.922500000000035</v>
      </c>
      <c r="F136" s="3"/>
      <c r="G136" s="102">
        <f t="shared" si="6"/>
        <v>5</v>
      </c>
      <c r="H136" s="149">
        <f t="shared" si="7"/>
        <v>2</v>
      </c>
      <c r="I136" s="496">
        <v>212</v>
      </c>
      <c r="J136" s="105">
        <f t="shared" si="0"/>
        <v>-7.52000000000001</v>
      </c>
      <c r="K136" s="104">
        <f t="shared" si="1"/>
        <v>56.55040000000015</v>
      </c>
    </row>
    <row r="137" spans="1:11" ht="12.75">
      <c r="A137" s="102">
        <f t="shared" si="4"/>
        <v>6</v>
      </c>
      <c r="B137" s="149">
        <f t="shared" si="5"/>
        <v>0</v>
      </c>
      <c r="C137" s="495">
        <v>210</v>
      </c>
      <c r="D137" s="105">
        <f t="shared" si="2"/>
        <v>-7.150000000000006</v>
      </c>
      <c r="E137" s="104">
        <f t="shared" si="3"/>
        <v>51.12250000000008</v>
      </c>
      <c r="F137" s="3"/>
      <c r="G137" s="102">
        <f t="shared" si="6"/>
        <v>6</v>
      </c>
      <c r="H137" s="149">
        <f t="shared" si="7"/>
        <v>1</v>
      </c>
      <c r="I137" s="496">
        <v>211</v>
      </c>
      <c r="J137" s="105">
        <f t="shared" si="0"/>
        <v>-8.52000000000001</v>
      </c>
      <c r="K137" s="104">
        <f t="shared" si="1"/>
        <v>72.59040000000017</v>
      </c>
    </row>
    <row r="138" spans="1:11" ht="12.75">
      <c r="A138" s="102">
        <f t="shared" si="4"/>
        <v>7</v>
      </c>
      <c r="B138" s="149">
        <f t="shared" si="5"/>
        <v>1</v>
      </c>
      <c r="C138" s="495">
        <v>211</v>
      </c>
      <c r="D138" s="105">
        <f t="shared" si="2"/>
        <v>-6.150000000000006</v>
      </c>
      <c r="E138" s="104">
        <f t="shared" si="3"/>
        <v>37.82250000000007</v>
      </c>
      <c r="F138" s="3"/>
      <c r="G138" s="102">
        <f t="shared" si="6"/>
        <v>7</v>
      </c>
      <c r="H138" s="149">
        <f t="shared" si="7"/>
        <v>35</v>
      </c>
      <c r="I138" s="496">
        <v>245</v>
      </c>
      <c r="J138" s="105">
        <f t="shared" si="0"/>
        <v>25.47999999999999</v>
      </c>
      <c r="K138" s="104">
        <f>IF(AND($E$127=2,$E$166&gt;14,$K$166&gt;5,I138&gt;1),J138*J138,"")</f>
        <v>649.2303999999995</v>
      </c>
    </row>
    <row r="139" spans="1:11" ht="12.75">
      <c r="A139" s="102">
        <f t="shared" si="4"/>
        <v>8</v>
      </c>
      <c r="B139" s="149">
        <f t="shared" si="5"/>
        <v>2</v>
      </c>
      <c r="C139" s="495">
        <v>212</v>
      </c>
      <c r="D139" s="105">
        <f t="shared" si="2"/>
        <v>-5.150000000000006</v>
      </c>
      <c r="E139" s="104">
        <f t="shared" si="3"/>
        <v>26.522500000000058</v>
      </c>
      <c r="F139" s="3"/>
      <c r="G139" s="102">
        <f t="shared" si="6"/>
        <v>8</v>
      </c>
      <c r="H139" s="149">
        <f t="shared" si="7"/>
        <v>21</v>
      </c>
      <c r="I139" s="496">
        <v>231</v>
      </c>
      <c r="J139" s="105">
        <f aca="true" t="shared" si="8" ref="J139:J164">IF(AND($E$127=2,$K$166&gt;5,$E$166&gt;14,I139&gt;1),(I139-$K$168),"")</f>
        <v>11.47999999999999</v>
      </c>
      <c r="K139" s="104">
        <f aca="true" t="shared" si="9" ref="K139:K164">IF(AND($E$127=2,$E$166&gt;14,$K$166&gt;5,I139&gt;1),J139*J139,"")</f>
        <v>131.79039999999978</v>
      </c>
    </row>
    <row r="140" spans="1:11" ht="12.75">
      <c r="A140" s="102">
        <f t="shared" si="4"/>
        <v>9</v>
      </c>
      <c r="B140" s="149">
        <f t="shared" si="5"/>
        <v>2</v>
      </c>
      <c r="C140" s="495">
        <v>212</v>
      </c>
      <c r="D140" s="105">
        <f t="shared" si="2"/>
        <v>-5.150000000000006</v>
      </c>
      <c r="E140" s="104">
        <f t="shared" si="3"/>
        <v>26.522500000000058</v>
      </c>
      <c r="F140" s="3"/>
      <c r="G140" s="102">
        <f t="shared" si="6"/>
        <v>9</v>
      </c>
      <c r="H140" s="149">
        <f t="shared" si="7"/>
        <v>3</v>
      </c>
      <c r="I140" s="496">
        <v>213</v>
      </c>
      <c r="J140" s="105">
        <f t="shared" si="8"/>
        <v>-6.52000000000001</v>
      </c>
      <c r="K140" s="104">
        <f t="shared" si="9"/>
        <v>42.51040000000013</v>
      </c>
    </row>
    <row r="141" spans="1:11" ht="12.75">
      <c r="A141" s="102">
        <f t="shared" si="4"/>
        <v>10</v>
      </c>
      <c r="B141" s="149">
        <f t="shared" si="5"/>
        <v>4</v>
      </c>
      <c r="C141" s="495">
        <v>214</v>
      </c>
      <c r="D141" s="105">
        <f t="shared" si="2"/>
        <v>-3.1500000000000057</v>
      </c>
      <c r="E141" s="104">
        <f t="shared" si="3"/>
        <v>9.922500000000035</v>
      </c>
      <c r="F141" s="3"/>
      <c r="G141" s="102">
        <f t="shared" si="6"/>
        <v>10</v>
      </c>
      <c r="H141" s="149">
        <f t="shared" si="7"/>
        <v>2</v>
      </c>
      <c r="I141" s="496">
        <v>212</v>
      </c>
      <c r="J141" s="105">
        <f t="shared" si="8"/>
        <v>-7.52000000000001</v>
      </c>
      <c r="K141" s="104">
        <f t="shared" si="9"/>
        <v>56.55040000000015</v>
      </c>
    </row>
    <row r="142" spans="1:11" ht="12.75">
      <c r="A142" s="102">
        <f t="shared" si="4"/>
        <v>11</v>
      </c>
      <c r="B142" s="149">
        <f t="shared" si="5"/>
        <v>6</v>
      </c>
      <c r="C142" s="495">
        <v>216</v>
      </c>
      <c r="D142" s="105">
        <f t="shared" si="2"/>
        <v>-1.1500000000000057</v>
      </c>
      <c r="E142" s="104">
        <f t="shared" si="3"/>
        <v>1.322500000000013</v>
      </c>
      <c r="F142" s="3"/>
      <c r="G142" s="102">
        <f t="shared" si="6"/>
        <v>11</v>
      </c>
      <c r="H142" s="149">
        <f t="shared" si="7"/>
        <v>7</v>
      </c>
      <c r="I142" s="496">
        <v>217</v>
      </c>
      <c r="J142" s="105">
        <f t="shared" si="8"/>
        <v>-2.5200000000000102</v>
      </c>
      <c r="K142" s="104">
        <f t="shared" si="9"/>
        <v>6.350400000000052</v>
      </c>
    </row>
    <row r="143" spans="1:11" ht="12.75">
      <c r="A143" s="102">
        <f t="shared" si="4"/>
        <v>12</v>
      </c>
      <c r="B143" s="149">
        <f t="shared" si="5"/>
        <v>12</v>
      </c>
      <c r="C143" s="495">
        <v>222</v>
      </c>
      <c r="D143" s="105">
        <f t="shared" si="2"/>
        <v>4.849999999999994</v>
      </c>
      <c r="E143" s="104">
        <f t="shared" si="3"/>
        <v>23.522499999999944</v>
      </c>
      <c r="F143" s="3"/>
      <c r="G143" s="102">
        <f t="shared" si="6"/>
        <v>12</v>
      </c>
      <c r="H143" s="149">
        <f t="shared" si="7"/>
        <v>3</v>
      </c>
      <c r="I143" s="496">
        <v>213</v>
      </c>
      <c r="J143" s="105">
        <f t="shared" si="8"/>
        <v>-6.52000000000001</v>
      </c>
      <c r="K143" s="104">
        <f t="shared" si="9"/>
        <v>42.51040000000013</v>
      </c>
    </row>
    <row r="144" spans="1:11" ht="12.75">
      <c r="A144" s="102">
        <f t="shared" si="4"/>
        <v>13</v>
      </c>
      <c r="B144" s="149">
        <f t="shared" si="5"/>
        <v>5</v>
      </c>
      <c r="C144" s="495">
        <v>215</v>
      </c>
      <c r="D144" s="105">
        <f t="shared" si="2"/>
        <v>-2.1500000000000057</v>
      </c>
      <c r="E144" s="104">
        <f t="shared" si="3"/>
        <v>4.6225000000000245</v>
      </c>
      <c r="F144" s="3"/>
      <c r="G144" s="102">
        <f t="shared" si="6"/>
        <v>13</v>
      </c>
      <c r="H144" s="149">
        <f t="shared" si="7"/>
        <v>24</v>
      </c>
      <c r="I144" s="496">
        <v>234</v>
      </c>
      <c r="J144" s="105">
        <f t="shared" si="8"/>
        <v>14.47999999999999</v>
      </c>
      <c r="K144" s="104">
        <f t="shared" si="9"/>
        <v>209.67039999999972</v>
      </c>
    </row>
    <row r="145" spans="1:11" ht="12.75">
      <c r="A145" s="102">
        <f t="shared" si="4"/>
        <v>14</v>
      </c>
      <c r="B145" s="149">
        <f t="shared" si="5"/>
        <v>9</v>
      </c>
      <c r="C145" s="495">
        <v>219</v>
      </c>
      <c r="D145" s="105">
        <f>IF(AND($E$127=2,$E$166&gt;14),(C145-$E$168),"")</f>
        <v>1.8499999999999943</v>
      </c>
      <c r="E145" s="104">
        <f t="shared" si="3"/>
        <v>3.422499999999979</v>
      </c>
      <c r="F145" s="3"/>
      <c r="G145" s="102">
        <f t="shared" si="6"/>
        <v>14</v>
      </c>
      <c r="H145" s="149">
        <f t="shared" si="7"/>
        <v>15</v>
      </c>
      <c r="I145" s="496">
        <v>225</v>
      </c>
      <c r="J145" s="105">
        <f t="shared" si="8"/>
        <v>5.47999999999999</v>
      </c>
      <c r="K145" s="104">
        <f t="shared" si="9"/>
        <v>30.030399999999887</v>
      </c>
    </row>
    <row r="146" spans="1:11" ht="12.75">
      <c r="A146" s="102">
        <f t="shared" si="4"/>
        <v>15</v>
      </c>
      <c r="B146" s="149">
        <f t="shared" si="5"/>
        <v>0</v>
      </c>
      <c r="C146" s="495">
        <v>210</v>
      </c>
      <c r="D146" s="105">
        <f>IF(AND($E$127=2,$E$166&gt;14),(C146-$E$168),"")</f>
        <v>-7.150000000000006</v>
      </c>
      <c r="E146" s="104">
        <f t="shared" si="3"/>
        <v>51.12250000000008</v>
      </c>
      <c r="F146" s="3"/>
      <c r="G146" s="102">
        <f t="shared" si="6"/>
        <v>15</v>
      </c>
      <c r="H146" s="149">
        <f t="shared" si="7"/>
        <v>0</v>
      </c>
      <c r="I146" s="496">
        <v>210</v>
      </c>
      <c r="J146" s="105">
        <f t="shared" si="8"/>
        <v>-9.52000000000001</v>
      </c>
      <c r="K146" s="104">
        <f t="shared" si="9"/>
        <v>90.6304000000002</v>
      </c>
    </row>
    <row r="147" spans="1:11" ht="12.75">
      <c r="A147" s="102">
        <f t="shared" si="4"/>
        <v>16</v>
      </c>
      <c r="B147" s="149">
        <f t="shared" si="5"/>
        <v>10</v>
      </c>
      <c r="C147" s="496">
        <v>220</v>
      </c>
      <c r="D147" s="105">
        <f t="shared" si="2"/>
        <v>2.8499999999999943</v>
      </c>
      <c r="E147" s="104">
        <f t="shared" si="3"/>
        <v>8.122499999999967</v>
      </c>
      <c r="F147" s="3"/>
      <c r="G147" s="102">
        <f t="shared" si="6"/>
        <v>16</v>
      </c>
      <c r="H147" s="149">
        <f t="shared" si="7"/>
        <v>10</v>
      </c>
      <c r="I147" s="496">
        <v>220</v>
      </c>
      <c r="J147" s="105">
        <f t="shared" si="8"/>
        <v>0.47999999999998977</v>
      </c>
      <c r="K147" s="104">
        <f t="shared" si="9"/>
        <v>0.23039999999999017</v>
      </c>
    </row>
    <row r="148" spans="1:11" ht="12.75">
      <c r="A148" s="102">
        <f t="shared" si="4"/>
        <v>17</v>
      </c>
      <c r="B148" s="149">
        <f t="shared" si="5"/>
        <v>35</v>
      </c>
      <c r="C148" s="496">
        <v>245</v>
      </c>
      <c r="D148" s="105">
        <f t="shared" si="2"/>
        <v>27.849999999999994</v>
      </c>
      <c r="E148" s="104">
        <f t="shared" si="3"/>
        <v>775.6224999999997</v>
      </c>
      <c r="F148" s="3"/>
      <c r="G148" s="102">
        <f t="shared" si="6"/>
        <v>17</v>
      </c>
      <c r="H148" s="149">
        <f t="shared" si="7"/>
        <v>35</v>
      </c>
      <c r="I148" s="496">
        <v>245</v>
      </c>
      <c r="J148" s="105">
        <f t="shared" si="8"/>
        <v>25.47999999999999</v>
      </c>
      <c r="K148" s="104">
        <f t="shared" si="9"/>
        <v>649.2303999999995</v>
      </c>
    </row>
    <row r="149" spans="1:11" ht="12.75">
      <c r="A149" s="102">
        <f t="shared" si="4"/>
        <v>18</v>
      </c>
      <c r="B149" s="149">
        <f t="shared" si="5"/>
        <v>11</v>
      </c>
      <c r="C149" s="496">
        <v>221</v>
      </c>
      <c r="D149" s="105">
        <f t="shared" si="2"/>
        <v>3.8499999999999943</v>
      </c>
      <c r="E149" s="104">
        <f t="shared" si="3"/>
        <v>14.822499999999955</v>
      </c>
      <c r="F149" s="3"/>
      <c r="G149" s="102">
        <f t="shared" si="6"/>
        <v>18</v>
      </c>
      <c r="H149" s="149">
        <f t="shared" si="7"/>
        <v>11</v>
      </c>
      <c r="I149" s="496">
        <v>221</v>
      </c>
      <c r="J149" s="105">
        <f t="shared" si="8"/>
        <v>1.4799999999999898</v>
      </c>
      <c r="K149" s="104">
        <f t="shared" si="9"/>
        <v>2.1903999999999697</v>
      </c>
    </row>
    <row r="150" spans="1:11" ht="12.75">
      <c r="A150" s="102">
        <f t="shared" si="4"/>
        <v>19</v>
      </c>
      <c r="B150" s="149">
        <f t="shared" si="5"/>
        <v>2</v>
      </c>
      <c r="C150" s="496">
        <v>212</v>
      </c>
      <c r="D150" s="105">
        <f t="shared" si="2"/>
        <v>-5.150000000000006</v>
      </c>
      <c r="E150" s="104">
        <f t="shared" si="3"/>
        <v>26.522500000000058</v>
      </c>
      <c r="F150" s="3"/>
      <c r="G150" s="102">
        <f t="shared" si="6"/>
        <v>19</v>
      </c>
      <c r="H150" s="149">
        <f t="shared" si="7"/>
        <v>2</v>
      </c>
      <c r="I150" s="496">
        <v>212</v>
      </c>
      <c r="J150" s="105">
        <f t="shared" si="8"/>
        <v>-7.52000000000001</v>
      </c>
      <c r="K150" s="104">
        <f t="shared" si="9"/>
        <v>56.55040000000015</v>
      </c>
    </row>
    <row r="151" spans="1:11" ht="12.75">
      <c r="A151" s="102">
        <f t="shared" si="4"/>
        <v>20</v>
      </c>
      <c r="B151" s="149">
        <f t="shared" si="5"/>
        <v>2</v>
      </c>
      <c r="C151" s="497">
        <v>212</v>
      </c>
      <c r="D151" s="105">
        <f t="shared" si="2"/>
        <v>-5.150000000000006</v>
      </c>
      <c r="E151" s="104">
        <f t="shared" si="3"/>
        <v>26.522500000000058</v>
      </c>
      <c r="F151" s="3"/>
      <c r="G151" s="102">
        <f t="shared" si="6"/>
        <v>20</v>
      </c>
      <c r="H151" s="149">
        <f t="shared" si="7"/>
        <v>2</v>
      </c>
      <c r="I151" s="497">
        <v>212</v>
      </c>
      <c r="J151" s="105">
        <f t="shared" si="8"/>
        <v>-7.52000000000001</v>
      </c>
      <c r="K151" s="104">
        <f t="shared" si="9"/>
        <v>56.55040000000015</v>
      </c>
    </row>
    <row r="152" spans="1:11" ht="12.75">
      <c r="A152" s="102">
        <f t="shared" si="4"/>
        <v>21</v>
      </c>
      <c r="B152" s="149">
        <f t="shared" si="5"/>
        <v>22</v>
      </c>
      <c r="C152" s="495">
        <v>232</v>
      </c>
      <c r="D152" s="105">
        <f t="shared" si="2"/>
        <v>14.849999999999994</v>
      </c>
      <c r="E152" s="104">
        <f t="shared" si="3"/>
        <v>220.52249999999984</v>
      </c>
      <c r="F152" s="3"/>
      <c r="G152" s="102">
        <f t="shared" si="6"/>
        <v>21</v>
      </c>
      <c r="H152" s="149">
        <f t="shared" si="7"/>
        <v>22</v>
      </c>
      <c r="I152" s="495">
        <v>232</v>
      </c>
      <c r="J152" s="105">
        <f t="shared" si="8"/>
        <v>12.47999999999999</v>
      </c>
      <c r="K152" s="104">
        <f t="shared" si="9"/>
        <v>155.75039999999976</v>
      </c>
    </row>
    <row r="153" spans="1:11" ht="12.75">
      <c r="A153" s="102">
        <f t="shared" si="4"/>
        <v>22</v>
      </c>
      <c r="B153" s="149">
        <f t="shared" si="5"/>
        <v>3</v>
      </c>
      <c r="C153" s="495">
        <v>213</v>
      </c>
      <c r="D153" s="105">
        <f t="shared" si="2"/>
        <v>-4.150000000000006</v>
      </c>
      <c r="E153" s="104">
        <f t="shared" si="3"/>
        <v>17.222500000000046</v>
      </c>
      <c r="F153" s="3"/>
      <c r="G153" s="102">
        <f t="shared" si="6"/>
        <v>22</v>
      </c>
      <c r="H153" s="149">
        <f t="shared" si="7"/>
        <v>3</v>
      </c>
      <c r="I153" s="495">
        <v>213</v>
      </c>
      <c r="J153" s="105">
        <f t="shared" si="8"/>
        <v>-6.52000000000001</v>
      </c>
      <c r="K153" s="104">
        <f t="shared" si="9"/>
        <v>42.51040000000013</v>
      </c>
    </row>
    <row r="154" spans="1:11" ht="12.75">
      <c r="A154" s="102">
        <f t="shared" si="4"/>
        <v>23</v>
      </c>
      <c r="B154" s="149">
        <f t="shared" si="5"/>
        <v>0</v>
      </c>
      <c r="C154" s="495">
        <v>210</v>
      </c>
      <c r="D154" s="105">
        <f t="shared" si="2"/>
        <v>-7.150000000000006</v>
      </c>
      <c r="E154" s="104">
        <f t="shared" si="3"/>
        <v>51.12250000000008</v>
      </c>
      <c r="F154" s="3"/>
      <c r="G154" s="102">
        <f t="shared" si="6"/>
        <v>23</v>
      </c>
      <c r="H154" s="149">
        <f t="shared" si="7"/>
        <v>0</v>
      </c>
      <c r="I154" s="495">
        <v>210</v>
      </c>
      <c r="J154" s="105">
        <f t="shared" si="8"/>
        <v>-9.52000000000001</v>
      </c>
      <c r="K154" s="104">
        <f t="shared" si="9"/>
        <v>90.6304000000002</v>
      </c>
    </row>
    <row r="155" spans="1:11" ht="12.75">
      <c r="A155" s="102">
        <f t="shared" si="4"/>
        <v>24</v>
      </c>
      <c r="B155" s="149">
        <f t="shared" si="5"/>
        <v>-12</v>
      </c>
      <c r="C155" s="495">
        <v>198</v>
      </c>
      <c r="D155" s="105">
        <f t="shared" si="2"/>
        <v>-19.150000000000006</v>
      </c>
      <c r="E155" s="104">
        <f t="shared" si="3"/>
        <v>366.7225000000002</v>
      </c>
      <c r="F155" s="3"/>
      <c r="G155" s="102">
        <f t="shared" si="6"/>
        <v>24</v>
      </c>
      <c r="H155" s="149">
        <f t="shared" si="7"/>
        <v>-12</v>
      </c>
      <c r="I155" s="495">
        <v>198</v>
      </c>
      <c r="J155" s="105">
        <f t="shared" si="8"/>
        <v>-21.52000000000001</v>
      </c>
      <c r="K155" s="104">
        <f t="shared" si="9"/>
        <v>463.1104000000004</v>
      </c>
    </row>
    <row r="156" spans="1:11" ht="12.75">
      <c r="A156" s="102">
        <f t="shared" si="4"/>
        <v>25</v>
      </c>
      <c r="B156" s="149">
        <f t="shared" si="5"/>
        <v>35</v>
      </c>
      <c r="C156" s="495">
        <v>245</v>
      </c>
      <c r="D156" s="105">
        <f t="shared" si="2"/>
        <v>27.849999999999994</v>
      </c>
      <c r="E156" s="104">
        <f t="shared" si="3"/>
        <v>775.6224999999997</v>
      </c>
      <c r="F156" s="3"/>
      <c r="G156" s="102">
        <f t="shared" si="6"/>
        <v>25</v>
      </c>
      <c r="H156" s="149">
        <f t="shared" si="7"/>
        <v>35</v>
      </c>
      <c r="I156" s="495">
        <v>245</v>
      </c>
      <c r="J156" s="105">
        <f t="shared" si="8"/>
        <v>25.47999999999999</v>
      </c>
      <c r="K156" s="104">
        <f t="shared" si="9"/>
        <v>649.2303999999995</v>
      </c>
    </row>
    <row r="157" spans="1:11" ht="12.75">
      <c r="A157" s="102">
        <f t="shared" si="4"/>
        <v>26</v>
      </c>
      <c r="B157" s="149">
        <f t="shared" si="5"/>
        <v>11</v>
      </c>
      <c r="C157" s="495">
        <v>221</v>
      </c>
      <c r="D157" s="105">
        <f t="shared" si="2"/>
        <v>3.8499999999999943</v>
      </c>
      <c r="E157" s="104">
        <f t="shared" si="3"/>
        <v>14.822499999999955</v>
      </c>
      <c r="F157" s="3"/>
      <c r="G157" s="102">
        <f t="shared" si="6"/>
        <v>26</v>
      </c>
      <c r="H157" s="149">
        <f t="shared" si="7"/>
        <v>11</v>
      </c>
      <c r="I157" s="495">
        <v>221</v>
      </c>
      <c r="J157" s="105">
        <f t="shared" si="8"/>
        <v>1.4799999999999898</v>
      </c>
      <c r="K157" s="104">
        <f t="shared" si="9"/>
        <v>2.1903999999999697</v>
      </c>
    </row>
    <row r="158" spans="1:11" ht="12.75">
      <c r="A158" s="102">
        <f t="shared" si="4"/>
        <v>27</v>
      </c>
      <c r="B158" s="149">
        <f t="shared" si="5"/>
        <v>-4</v>
      </c>
      <c r="C158" s="495">
        <v>206</v>
      </c>
      <c r="D158" s="105">
        <f t="shared" si="2"/>
        <v>-11.150000000000006</v>
      </c>
      <c r="E158" s="104">
        <f t="shared" si="3"/>
        <v>124.32250000000013</v>
      </c>
      <c r="F158" s="3"/>
      <c r="G158" s="102">
        <f t="shared" si="6"/>
        <v>27</v>
      </c>
      <c r="H158" s="149">
        <f t="shared" si="7"/>
        <v>-4</v>
      </c>
      <c r="I158" s="495">
        <v>206</v>
      </c>
      <c r="J158" s="105">
        <f t="shared" si="8"/>
        <v>-13.52000000000001</v>
      </c>
      <c r="K158" s="104">
        <f t="shared" si="9"/>
        <v>182.7904000000003</v>
      </c>
    </row>
    <row r="159" spans="1:11" ht="12.75">
      <c r="A159" s="102">
        <f t="shared" si="4"/>
        <v>28</v>
      </c>
      <c r="B159" s="149">
        <f t="shared" si="5"/>
        <v>-1</v>
      </c>
      <c r="C159" s="495">
        <v>209</v>
      </c>
      <c r="D159" s="105">
        <f t="shared" si="2"/>
        <v>-8.150000000000006</v>
      </c>
      <c r="E159" s="104">
        <f t="shared" si="3"/>
        <v>66.4225000000001</v>
      </c>
      <c r="F159" s="3"/>
      <c r="G159" s="102">
        <f t="shared" si="6"/>
        <v>28</v>
      </c>
      <c r="H159" s="149">
        <f t="shared" si="7"/>
        <v>-1</v>
      </c>
      <c r="I159" s="495">
        <v>209</v>
      </c>
      <c r="J159" s="105">
        <f t="shared" si="8"/>
        <v>-10.52000000000001</v>
      </c>
      <c r="K159" s="104">
        <f t="shared" si="9"/>
        <v>110.67040000000021</v>
      </c>
    </row>
    <row r="160" spans="1:11" ht="12.75">
      <c r="A160" s="102">
        <f t="shared" si="4"/>
        <v>29</v>
      </c>
      <c r="B160" s="149">
        <f t="shared" si="5"/>
        <v>8</v>
      </c>
      <c r="C160" s="495">
        <v>218</v>
      </c>
      <c r="D160" s="105">
        <f t="shared" si="2"/>
        <v>0.8499999999999943</v>
      </c>
      <c r="E160" s="104">
        <f t="shared" si="3"/>
        <v>0.7224999999999904</v>
      </c>
      <c r="F160" s="3"/>
      <c r="G160" s="102">
        <f t="shared" si="6"/>
        <v>29</v>
      </c>
      <c r="H160" s="149">
        <f t="shared" si="7"/>
        <v>8</v>
      </c>
      <c r="I160" s="495">
        <v>218</v>
      </c>
      <c r="J160" s="105">
        <f t="shared" si="8"/>
        <v>-1.5200000000000102</v>
      </c>
      <c r="K160" s="104">
        <f t="shared" si="9"/>
        <v>2.310400000000031</v>
      </c>
    </row>
    <row r="161" spans="1:11" ht="12.75">
      <c r="A161" s="102">
        <f t="shared" si="4"/>
        <v>30</v>
      </c>
      <c r="B161" s="149">
        <f t="shared" si="5"/>
        <v>10</v>
      </c>
      <c r="C161" s="495">
        <v>220</v>
      </c>
      <c r="D161" s="105">
        <f t="shared" si="2"/>
        <v>2.8499999999999943</v>
      </c>
      <c r="E161" s="104">
        <f t="shared" si="3"/>
        <v>8.122499999999967</v>
      </c>
      <c r="F161" s="3"/>
      <c r="G161" s="102">
        <f t="shared" si="6"/>
        <v>30</v>
      </c>
      <c r="H161" s="149">
        <f t="shared" si="7"/>
        <v>10</v>
      </c>
      <c r="I161" s="495">
        <v>220</v>
      </c>
      <c r="J161" s="105">
        <f t="shared" si="8"/>
        <v>0.47999999999998977</v>
      </c>
      <c r="K161" s="104">
        <f t="shared" si="9"/>
        <v>0.23039999999999017</v>
      </c>
    </row>
    <row r="162" spans="1:11" ht="12.75">
      <c r="A162" s="102">
        <f t="shared" si="4"/>
        <v>31</v>
      </c>
      <c r="B162" s="149">
        <f t="shared" si="5"/>
        <v>14</v>
      </c>
      <c r="C162" s="495">
        <v>224</v>
      </c>
      <c r="D162" s="105">
        <f t="shared" si="2"/>
        <v>6.849999999999994</v>
      </c>
      <c r="E162" s="104">
        <f t="shared" si="3"/>
        <v>46.92249999999992</v>
      </c>
      <c r="F162" s="3"/>
      <c r="G162" s="102">
        <f t="shared" si="6"/>
        <v>31</v>
      </c>
      <c r="H162" s="149">
        <f t="shared" si="7"/>
        <v>14</v>
      </c>
      <c r="I162" s="495">
        <v>224</v>
      </c>
      <c r="J162" s="105">
        <f t="shared" si="8"/>
        <v>4.47999999999999</v>
      </c>
      <c r="K162" s="104">
        <f t="shared" si="9"/>
        <v>20.070399999999907</v>
      </c>
    </row>
    <row r="163" spans="1:11" ht="12.75">
      <c r="A163" s="102">
        <f t="shared" si="4"/>
        <v>32</v>
      </c>
      <c r="B163" s="149">
        <f t="shared" si="5"/>
        <v>7</v>
      </c>
      <c r="C163" s="495">
        <v>217</v>
      </c>
      <c r="D163" s="105">
        <f t="shared" si="2"/>
        <v>-0.15000000000000568</v>
      </c>
      <c r="E163" s="104">
        <f t="shared" si="3"/>
        <v>0.022500000000001706</v>
      </c>
      <c r="F163" s="3"/>
      <c r="G163" s="102">
        <f t="shared" si="6"/>
        <v>32</v>
      </c>
      <c r="H163" s="149">
        <f t="shared" si="7"/>
        <v>7</v>
      </c>
      <c r="I163" s="495">
        <v>217</v>
      </c>
      <c r="J163" s="105">
        <f t="shared" si="8"/>
        <v>-2.5200000000000102</v>
      </c>
      <c r="K163" s="104">
        <f t="shared" si="9"/>
        <v>6.350400000000052</v>
      </c>
    </row>
    <row r="164" spans="1:11" ht="12.75">
      <c r="A164" s="102">
        <f t="shared" si="4"/>
        <v>33</v>
      </c>
      <c r="B164" s="149">
        <f t="shared" si="5"/>
        <v>3</v>
      </c>
      <c r="C164" s="498">
        <v>213</v>
      </c>
      <c r="D164" s="106">
        <f t="shared" si="2"/>
        <v>-4.150000000000006</v>
      </c>
      <c r="E164" s="107">
        <f t="shared" si="3"/>
        <v>17.222500000000046</v>
      </c>
      <c r="F164" s="3"/>
      <c r="G164" s="102">
        <f t="shared" si="6"/>
        <v>33</v>
      </c>
      <c r="H164" s="149">
        <f t="shared" si="7"/>
        <v>3</v>
      </c>
      <c r="I164" s="498">
        <v>213</v>
      </c>
      <c r="J164" s="106">
        <f t="shared" si="8"/>
        <v>-6.52000000000001</v>
      </c>
      <c r="K164" s="107">
        <f t="shared" si="9"/>
        <v>42.51040000000013</v>
      </c>
    </row>
    <row r="165" spans="1:11" ht="13.5" thickBot="1">
      <c r="A165" s="143"/>
      <c r="B165" s="649"/>
      <c r="C165" s="424">
        <f>IF(E127=2,SUM(C132:C164),"")</f>
        <v>7166</v>
      </c>
      <c r="D165" s="132"/>
      <c r="E165" s="133">
        <f>IF(E127=2,SUM(E132:E151),"")</f>
        <v>1350.4499999999998</v>
      </c>
      <c r="F165" s="69"/>
      <c r="G165" s="135"/>
      <c r="H165" s="136"/>
      <c r="I165" s="424">
        <f>IF(E127=2,SUM(I132:I164),"")</f>
        <v>7244</v>
      </c>
      <c r="J165" s="132"/>
      <c r="K165" s="133">
        <f>IF(E127=2,SUM(K132:K151),"")</f>
        <v>2407.8879999999995</v>
      </c>
    </row>
    <row r="166" spans="1:11" ht="13.5">
      <c r="A166" s="134"/>
      <c r="B166" s="488" t="s">
        <v>99</v>
      </c>
      <c r="C166" s="489"/>
      <c r="D166" s="71" t="s">
        <v>100</v>
      </c>
      <c r="E166" s="70">
        <f>IF(E127=2,COUNT(A132:A164),"")</f>
        <v>33</v>
      </c>
      <c r="F166" s="3"/>
      <c r="G166" s="3"/>
      <c r="H166" s="3"/>
      <c r="I166" s="13"/>
      <c r="J166" s="71" t="s">
        <v>101</v>
      </c>
      <c r="K166" s="70">
        <f>IF(E127=2,COUNT(G132:G164),"")</f>
        <v>33</v>
      </c>
    </row>
    <row r="167" spans="1:11" ht="13.5">
      <c r="A167" s="112"/>
      <c r="B167" s="489" t="s">
        <v>102</v>
      </c>
      <c r="C167" s="489"/>
      <c r="D167" s="60" t="s">
        <v>103</v>
      </c>
      <c r="E167" s="72">
        <f>IF(OR(E127=1,E127=3),"",IF(E166&gt;14,C165,0))</f>
        <v>7166</v>
      </c>
      <c r="F167" s="3"/>
      <c r="G167" s="3"/>
      <c r="H167" s="140"/>
      <c r="I167" s="13"/>
      <c r="J167" s="60" t="s">
        <v>103</v>
      </c>
      <c r="K167" s="72">
        <f>IF(OR(E127=1,E127=3),"",IF(AND($E$166&gt;14,$K$166&gt;5),I165,0))</f>
        <v>7244</v>
      </c>
    </row>
    <row r="168" spans="1:12" ht="12.75">
      <c r="A168" s="112"/>
      <c r="B168" s="489" t="s">
        <v>104</v>
      </c>
      <c r="C168" s="489"/>
      <c r="D168" s="60" t="s">
        <v>105</v>
      </c>
      <c r="E168" s="103" t="str">
        <f>IF(AND(E127=2,E166&gt;14),FIXED((C165/E166),2),"")</f>
        <v>217.15</v>
      </c>
      <c r="F168" s="13"/>
      <c r="G168" s="3"/>
      <c r="H168" s="3"/>
      <c r="I168" s="13"/>
      <c r="J168" s="60" t="s">
        <v>105</v>
      </c>
      <c r="K168" s="103" t="str">
        <f>IF(AND(E127=2,$E$166&gt;14,$K$166&gt;5),FIXED((I165/K166),2),"")</f>
        <v>219.52</v>
      </c>
      <c r="L168" s="23"/>
    </row>
    <row r="169" spans="1:11" ht="15">
      <c r="A169" s="112"/>
      <c r="B169" s="489"/>
      <c r="C169" s="489"/>
      <c r="D169" s="60" t="s">
        <v>106</v>
      </c>
      <c r="E169" s="426" t="str">
        <f>IF(OR(E127=1,E127=3),"",IF(E166&gt;14,FIXED(E165,2),0))</f>
        <v>1,350.45</v>
      </c>
      <c r="F169" s="3"/>
      <c r="G169" s="3"/>
      <c r="H169" s="3"/>
      <c r="I169" s="13"/>
      <c r="J169" s="60" t="s">
        <v>106</v>
      </c>
      <c r="K169" s="426" t="str">
        <f>IF(OR(E127=1,E127=3),"",IF(K166&gt;5,FIXED(K165,2),0))</f>
        <v>2,407.89</v>
      </c>
    </row>
    <row r="170" spans="1:11" ht="15.75">
      <c r="A170" s="112"/>
      <c r="B170" s="489"/>
      <c r="C170" s="490" t="s">
        <v>318</v>
      </c>
      <c r="D170" s="60" t="s">
        <v>107</v>
      </c>
      <c r="E170" s="73">
        <f>+IF(OR(E127=1,E127=3),"",IF(E166&gt;14,E165/(E166-1),0))</f>
        <v>42.201562499999994</v>
      </c>
      <c r="F170" s="3"/>
      <c r="G170" s="742" t="s">
        <v>328</v>
      </c>
      <c r="H170" s="743"/>
      <c r="I170" s="13"/>
      <c r="J170" s="60" t="s">
        <v>108</v>
      </c>
      <c r="K170" s="73">
        <f>+IF(OR(E127=1,E127=3),"",IF(K166&gt;5,K165/(K166-1),0))</f>
        <v>75.24649999999998</v>
      </c>
    </row>
    <row r="171" spans="1:12" ht="13.5">
      <c r="A171" s="59">
        <v>2.1</v>
      </c>
      <c r="B171" s="489"/>
      <c r="C171" s="490" t="s">
        <v>319</v>
      </c>
      <c r="D171" s="145" t="s">
        <v>317</v>
      </c>
      <c r="E171" s="146">
        <f>IF(E127=2,SQRT(E170),"")</f>
        <v>6.496272969942073</v>
      </c>
      <c r="F171" s="13"/>
      <c r="G171" s="429">
        <f>IF(AND(E127=2,E166&gt;14,K166&lt;=5),"&lt;==SD","")</f>
      </c>
      <c r="H171" s="430">
        <f>IF(AND(E127=2,E166&gt;=15,K166&gt;5),SQRT(((E166-1)*E170+(K166-1)*K170)/(E166+K166-2)),IF(OR(E127=1,E127=3),"","Tabla"))</f>
        <v>7.663160656674242</v>
      </c>
      <c r="I171" s="13"/>
      <c r="J171" s="147" t="s">
        <v>317</v>
      </c>
      <c r="K171" s="146">
        <f>IF(E127=2,SQRT(K170),"")</f>
        <v>8.674474047456709</v>
      </c>
      <c r="L171" s="23"/>
    </row>
    <row r="172" spans="1:11" ht="13.5">
      <c r="A172" s="59">
        <v>2.2</v>
      </c>
      <c r="B172" s="489" t="s">
        <v>109</v>
      </c>
      <c r="C172" s="489"/>
      <c r="D172" s="147" t="s">
        <v>364</v>
      </c>
      <c r="E172" s="148">
        <f>IF(AND(E127=2,E166&gt;14),E171/E168,"")</f>
        <v>0.02991606249109865</v>
      </c>
      <c r="F172" s="3"/>
      <c r="G172" s="429">
        <f>IF(AND(E127=2,E166&gt;14,K166&lt;=5),"&lt;==V","")</f>
      </c>
      <c r="H172" s="432">
        <f>IF(AND(E127=2,E166&gt;=15,K166&gt;5),SQRT(((E166-1)*E172^2+(K166-1)*K172^2)/(E166+K166-2)),IF(OR(E127=1,E127=3),"","Tabla"))</f>
        <v>0.03504609016189518</v>
      </c>
      <c r="I172" s="13"/>
      <c r="J172" s="147" t="s">
        <v>363</v>
      </c>
      <c r="K172" s="148">
        <f>IF(AND(E127=2,E166&gt;14,K166&gt;5),K171/K168,"")</f>
        <v>0.039515643437758326</v>
      </c>
    </row>
    <row r="173" spans="1:11" ht="13.5">
      <c r="A173" s="59">
        <v>2.3</v>
      </c>
      <c r="B173" s="489" t="s">
        <v>362</v>
      </c>
      <c r="C173" s="489"/>
      <c r="D173" s="36" t="s">
        <v>351</v>
      </c>
      <c r="E173" s="150">
        <f>+'tablas '!E323</f>
        <v>210</v>
      </c>
      <c r="F173" s="3"/>
      <c r="G173" s="3"/>
      <c r="H173" s="3"/>
      <c r="I173" s="13"/>
      <c r="J173" s="36" t="s">
        <v>351</v>
      </c>
      <c r="K173" s="150">
        <f>+'tablas '!E323</f>
        <v>210</v>
      </c>
    </row>
    <row r="174" spans="1:12" ht="13.5">
      <c r="A174" s="59">
        <v>2.4</v>
      </c>
      <c r="B174" s="489" t="s">
        <v>368</v>
      </c>
      <c r="C174" s="489"/>
      <c r="D174" s="36" t="s">
        <v>365</v>
      </c>
      <c r="E174" s="151">
        <f>IF(E127=2,COUNTIF(B132:B164,("&lt;=-1")),"")</f>
        <v>3</v>
      </c>
      <c r="F174" s="5"/>
      <c r="G174" s="5"/>
      <c r="H174" s="5"/>
      <c r="I174" s="5"/>
      <c r="J174" s="36" t="s">
        <v>365</v>
      </c>
      <c r="K174" s="150">
        <f>IF(K166&gt;=1,IF(E127=2,COUNTIF(H132:H164,("&lt;=-1")),""))</f>
        <v>3</v>
      </c>
      <c r="L174" s="5"/>
    </row>
    <row r="175" spans="1:11" ht="14.25" thickBot="1">
      <c r="A175" s="131">
        <v>2.5</v>
      </c>
      <c r="B175" s="491" t="s">
        <v>369</v>
      </c>
      <c r="C175" s="491"/>
      <c r="D175" s="74" t="s">
        <v>366</v>
      </c>
      <c r="E175" s="152">
        <f ca="1">IF(OR(E127=2,E127=3),TODAY()-E128,"")</f>
        <v>954</v>
      </c>
      <c r="F175" s="3"/>
      <c r="G175" s="140"/>
      <c r="H175" s="3"/>
      <c r="I175" s="13"/>
      <c r="J175" s="144" t="s">
        <v>367</v>
      </c>
      <c r="K175" s="152">
        <f ca="1">IF(K166=1,0,IF(OR(E127=2,E127=3),TODAY()-K128,""))</f>
        <v>910</v>
      </c>
    </row>
    <row r="176" spans="1:10" ht="12.75">
      <c r="A176" s="21"/>
      <c r="B176" s="3"/>
      <c r="C176" s="3"/>
      <c r="D176" s="13"/>
      <c r="E176" s="75"/>
      <c r="F176" s="5"/>
      <c r="G176" s="47"/>
      <c r="H176" s="3"/>
      <c r="I176" s="13"/>
      <c r="J176" s="75"/>
    </row>
    <row r="177" spans="1:10" ht="12.75">
      <c r="A177" s="21"/>
      <c r="B177" s="3"/>
      <c r="C177" s="3"/>
      <c r="D177" s="13"/>
      <c r="E177" s="75"/>
      <c r="F177" s="3"/>
      <c r="G177" s="3"/>
      <c r="H177" s="3"/>
      <c r="I177" s="13"/>
      <c r="J177" s="75"/>
    </row>
    <row r="178" spans="1:11" ht="12.75">
      <c r="A178" s="21">
        <v>3.2</v>
      </c>
      <c r="B178" s="4" t="s">
        <v>326</v>
      </c>
      <c r="C178" s="4"/>
      <c r="D178" s="4"/>
      <c r="E178" s="4" t="str">
        <f>+IF(AND(E166&gt;=1,K166&gt;=1),"PROMEDIO",(IF(AND(E166&gt;=1,K166=0),"")))</f>
        <v>PROMEDIO</v>
      </c>
      <c r="F178" s="21"/>
      <c r="G178" s="21"/>
      <c r="H178" s="21" t="s">
        <v>327</v>
      </c>
      <c r="I178" s="736">
        <f>IF(AND(E127=2,E166&gt;14,K166&lt;=5),E171,IF(E127=1,0,IF(E127=3,G125,H171)))</f>
        <v>7.663160656674242</v>
      </c>
      <c r="J178" s="737"/>
      <c r="K178" s="13" t="s">
        <v>4</v>
      </c>
    </row>
    <row r="179" spans="1:11" ht="12.75">
      <c r="A179" s="21"/>
      <c r="B179" s="4"/>
      <c r="C179" s="4"/>
      <c r="D179" s="4"/>
      <c r="E179" s="4"/>
      <c r="F179" s="21"/>
      <c r="G179" s="21"/>
      <c r="H179" s="21"/>
      <c r="K179" s="13"/>
    </row>
    <row r="180" spans="1:11" ht="12.75">
      <c r="A180" s="21">
        <v>3.3</v>
      </c>
      <c r="B180" s="4" t="s">
        <v>357</v>
      </c>
      <c r="C180" s="4"/>
      <c r="D180" s="4"/>
      <c r="E180" s="4"/>
      <c r="F180" s="21"/>
      <c r="G180" s="21"/>
      <c r="H180" s="427" t="s">
        <v>521</v>
      </c>
      <c r="K180" s="13"/>
    </row>
    <row r="181" spans="1:11" ht="13.5" thickBot="1">
      <c r="A181" s="21"/>
      <c r="B181" s="6"/>
      <c r="C181" s="5" t="s">
        <v>18</v>
      </c>
      <c r="D181" s="5"/>
      <c r="E181" s="10"/>
      <c r="F181" s="21"/>
      <c r="G181" s="21"/>
      <c r="H181" s="21"/>
      <c r="K181" s="13"/>
    </row>
    <row r="182" spans="1:11" ht="12.75">
      <c r="A182" s="21"/>
      <c r="B182" s="129" t="s">
        <v>19</v>
      </c>
      <c r="C182" s="717" t="s">
        <v>359</v>
      </c>
      <c r="D182" s="728"/>
      <c r="E182" s="4"/>
      <c r="F182" s="676" t="s">
        <v>371</v>
      </c>
      <c r="G182" s="677"/>
      <c r="H182" s="672" t="s">
        <v>361</v>
      </c>
      <c r="I182" s="673"/>
      <c r="K182" s="13"/>
    </row>
    <row r="183" spans="1:11" ht="12.75">
      <c r="A183" s="21"/>
      <c r="B183" s="130" t="s">
        <v>358</v>
      </c>
      <c r="C183" s="729" t="s">
        <v>370</v>
      </c>
      <c r="D183" s="730"/>
      <c r="E183" s="4"/>
      <c r="F183" s="731" t="s">
        <v>372</v>
      </c>
      <c r="G183" s="732"/>
      <c r="H183" s="719" t="s">
        <v>360</v>
      </c>
      <c r="I183" s="733"/>
      <c r="K183" s="13"/>
    </row>
    <row r="184" spans="1:11" ht="12.75">
      <c r="A184" s="21"/>
      <c r="B184" s="48">
        <v>15</v>
      </c>
      <c r="C184" s="678">
        <v>1.16</v>
      </c>
      <c r="D184" s="679"/>
      <c r="E184" s="4"/>
      <c r="F184" s="680" t="s">
        <v>51</v>
      </c>
      <c r="G184" s="681"/>
      <c r="H184" s="674" t="s">
        <v>373</v>
      </c>
      <c r="I184" s="675"/>
      <c r="K184" s="13"/>
    </row>
    <row r="185" spans="1:11" ht="12.75">
      <c r="A185" s="21"/>
      <c r="B185" s="48">
        <v>20</v>
      </c>
      <c r="C185" s="678">
        <v>1.08</v>
      </c>
      <c r="D185" s="679"/>
      <c r="E185" s="4"/>
      <c r="F185" s="751">
        <f>IF(E127=2,(E166+K166),"")</f>
        <v>66</v>
      </c>
      <c r="G185" s="752"/>
      <c r="H185" s="734">
        <f>IF(F185=15,I178*1.16,IF(AND(F185&gt;15,F185&lt;20),I178*1.16,IF(AND(F185&gt;20,F185&lt;25),I178*1.08,IF(AND(F185&gt;25,F185&lt;30),I178*1.03,IF(F185&gt;=30,I178,IF(F185="",I178,"faltan datos"))))))</f>
        <v>7.663160656674242</v>
      </c>
      <c r="I185" s="735"/>
      <c r="J185" s="13" t="s">
        <v>4</v>
      </c>
      <c r="K185" s="13"/>
    </row>
    <row r="186" spans="1:11" ht="13.5" thickBot="1">
      <c r="A186" s="21"/>
      <c r="B186" s="48">
        <v>25</v>
      </c>
      <c r="C186" s="678">
        <v>1.03</v>
      </c>
      <c r="D186" s="679"/>
      <c r="E186" s="4"/>
      <c r="F186" s="684" t="s">
        <v>544</v>
      </c>
      <c r="G186" s="685"/>
      <c r="H186" s="682">
        <f>IF(OR(E127=1,E127=3),"SIGA",IF(E127=2,(E174+K174)/F185))</f>
        <v>0.09090909090909091</v>
      </c>
      <c r="I186" s="683"/>
      <c r="K186" s="13"/>
    </row>
    <row r="187" spans="1:11" ht="12.75">
      <c r="A187" s="21"/>
      <c r="B187" s="49">
        <v>30</v>
      </c>
      <c r="C187" s="670">
        <v>1</v>
      </c>
      <c r="D187" s="671"/>
      <c r="E187" s="4"/>
      <c r="F187" s="21"/>
      <c r="G187" s="21"/>
      <c r="H187" s="21"/>
      <c r="K187" s="13"/>
    </row>
    <row r="188" spans="1:11" ht="12.75">
      <c r="A188" s="21"/>
      <c r="B188" s="4"/>
      <c r="C188" s="4"/>
      <c r="D188" s="4"/>
      <c r="E188" s="4"/>
      <c r="F188" s="21"/>
      <c r="G188" s="21"/>
      <c r="H188" s="21"/>
      <c r="K188" s="13"/>
    </row>
    <row r="189" spans="1:11" ht="12.75">
      <c r="A189" s="21"/>
      <c r="B189" s="4"/>
      <c r="C189" s="4"/>
      <c r="D189" s="4"/>
      <c r="E189" s="4"/>
      <c r="F189" s="21"/>
      <c r="G189" s="21"/>
      <c r="H189" s="21"/>
      <c r="K189" s="13"/>
    </row>
    <row r="190" spans="1:11" ht="12.75">
      <c r="A190" s="21"/>
      <c r="B190" s="4"/>
      <c r="C190" s="4"/>
      <c r="D190" s="4"/>
      <c r="E190" s="4"/>
      <c r="F190" s="21"/>
      <c r="G190" s="21"/>
      <c r="H190" s="21"/>
      <c r="K190" s="13"/>
    </row>
    <row r="191" spans="1:11" ht="12.75">
      <c r="A191" s="21">
        <v>4.1</v>
      </c>
      <c r="B191" s="4" t="s">
        <v>523</v>
      </c>
      <c r="C191" s="4"/>
      <c r="D191" s="4"/>
      <c r="E191" s="4"/>
      <c r="F191" s="21"/>
      <c r="G191" s="21"/>
      <c r="H191" s="21"/>
      <c r="K191" s="13"/>
    </row>
    <row r="192" spans="1:8" ht="12.75">
      <c r="A192" s="21"/>
      <c r="B192" s="6"/>
      <c r="C192" s="6"/>
      <c r="D192" s="6"/>
      <c r="E192" s="707" t="s">
        <v>521</v>
      </c>
      <c r="F192" s="708"/>
      <c r="G192" s="708"/>
      <c r="H192" s="709"/>
    </row>
    <row r="193" spans="1:8" ht="12.75">
      <c r="A193" s="21"/>
      <c r="B193" s="6"/>
      <c r="C193" s="6"/>
      <c r="D193" s="6"/>
      <c r="E193" s="427"/>
      <c r="F193" s="427"/>
      <c r="G193" s="6"/>
      <c r="H193" s="6"/>
    </row>
    <row r="194" spans="1:10" ht="12.75">
      <c r="A194" s="21" t="s">
        <v>588</v>
      </c>
      <c r="B194" s="4" t="s">
        <v>356</v>
      </c>
      <c r="C194" s="4"/>
      <c r="D194" s="4"/>
      <c r="E194" s="4"/>
      <c r="F194" s="4"/>
      <c r="G194" s="76"/>
      <c r="H194" s="76"/>
      <c r="I194" s="10"/>
      <c r="J194" s="10"/>
    </row>
    <row r="195" spans="1:10" ht="12.75">
      <c r="A195" s="21"/>
      <c r="B195" s="76"/>
      <c r="C195" s="6"/>
      <c r="D195" s="6"/>
      <c r="E195" s="6"/>
      <c r="F195" s="6"/>
      <c r="G195" s="76"/>
      <c r="H195" s="76"/>
      <c r="I195" s="10"/>
      <c r="J195" s="10"/>
    </row>
    <row r="196" spans="1:10" ht="12.75">
      <c r="A196" s="21"/>
      <c r="B196" s="6"/>
      <c r="C196" s="702" t="s">
        <v>316</v>
      </c>
      <c r="D196" s="702"/>
      <c r="E196" s="6"/>
      <c r="F196" s="3"/>
      <c r="G196" s="10"/>
      <c r="H196" s="3"/>
      <c r="I196" s="10"/>
      <c r="J196" s="10"/>
    </row>
    <row r="197" spans="1:8" ht="12.75">
      <c r="A197" s="21"/>
      <c r="B197" s="703" t="s">
        <v>89</v>
      </c>
      <c r="C197" s="704"/>
      <c r="D197" s="65" t="s">
        <v>90</v>
      </c>
      <c r="E197" s="66"/>
      <c r="F197" s="6"/>
      <c r="G197" s="10"/>
      <c r="H197" s="6"/>
    </row>
    <row r="198" spans="1:11" ht="12.75">
      <c r="A198" s="21"/>
      <c r="B198" s="695" t="s">
        <v>91</v>
      </c>
      <c r="C198" s="696"/>
      <c r="D198" s="67" t="s">
        <v>92</v>
      </c>
      <c r="E198" s="68">
        <v>70</v>
      </c>
      <c r="F198" s="6"/>
      <c r="G198" s="9">
        <f>IF(J192="NO","RESISTENCIA PROMEDIO SEGÚN  TABLA 1","")</f>
      </c>
      <c r="H198" s="333"/>
      <c r="I198" s="325" t="s">
        <v>329</v>
      </c>
      <c r="J198" s="325"/>
      <c r="K198" s="327"/>
    </row>
    <row r="199" spans="1:12" ht="12.75">
      <c r="A199" s="21"/>
      <c r="B199" s="695" t="s">
        <v>93</v>
      </c>
      <c r="C199" s="696"/>
      <c r="D199" s="67" t="s">
        <v>92</v>
      </c>
      <c r="E199" s="68">
        <v>84</v>
      </c>
      <c r="F199" s="6"/>
      <c r="G199" s="9">
        <f>IF(J194="NO","RESISTENCIA PROMEDIO SEGÚN  TABLA 1","")</f>
      </c>
      <c r="H199" s="328" t="s">
        <v>110</v>
      </c>
      <c r="I199" s="726" t="str">
        <f>+IF(E127=1,'tablas '!H20,"SIGA")</f>
        <v>SIGA</v>
      </c>
      <c r="J199" s="727"/>
      <c r="K199" s="329" t="s">
        <v>4</v>
      </c>
      <c r="L199" s="10"/>
    </row>
    <row r="200" spans="1:11" ht="12.75">
      <c r="A200" s="21"/>
      <c r="B200" s="695" t="s">
        <v>94</v>
      </c>
      <c r="C200" s="696"/>
      <c r="D200" s="67" t="s">
        <v>92</v>
      </c>
      <c r="E200" s="68">
        <v>98</v>
      </c>
      <c r="F200" s="6"/>
      <c r="G200" s="9">
        <f>IF(J195="NO","RESISTENCIA PROMEDIO SEGÚN  TABLA 1","")</f>
      </c>
      <c r="H200" s="334"/>
      <c r="I200" s="335"/>
      <c r="J200" s="335"/>
      <c r="K200" s="332"/>
    </row>
    <row r="201" spans="1:10" ht="12.75">
      <c r="A201" s="21"/>
      <c r="B201" s="110"/>
      <c r="C201" s="110"/>
      <c r="D201" s="111"/>
      <c r="E201" s="110"/>
      <c r="F201" s="6"/>
      <c r="G201" s="9"/>
      <c r="H201" s="9"/>
      <c r="I201" s="9"/>
      <c r="J201" s="9"/>
    </row>
    <row r="202" spans="1:9" ht="12.75">
      <c r="A202" s="21" t="s">
        <v>589</v>
      </c>
      <c r="B202" s="4" t="s">
        <v>474</v>
      </c>
      <c r="C202" s="6"/>
      <c r="D202" s="427"/>
      <c r="E202" s="6"/>
      <c r="F202" s="6"/>
      <c r="G202" s="10"/>
      <c r="H202" s="6"/>
      <c r="I202" s="10"/>
    </row>
    <row r="203" spans="1:8" ht="12.75">
      <c r="A203" s="21"/>
      <c r="B203" s="6"/>
      <c r="C203" s="6"/>
      <c r="D203" s="6"/>
      <c r="E203" s="6"/>
      <c r="F203" s="6"/>
      <c r="G203" s="6"/>
      <c r="H203" s="6"/>
    </row>
    <row r="204" spans="1:11" ht="12.75">
      <c r="A204" s="21"/>
      <c r="B204" s="6"/>
      <c r="C204" s="6"/>
      <c r="D204" s="6"/>
      <c r="E204" s="6"/>
      <c r="F204" s="6"/>
      <c r="G204" s="77"/>
      <c r="H204" s="324"/>
      <c r="I204" s="325" t="s">
        <v>475</v>
      </c>
      <c r="J204" s="326"/>
      <c r="K204" s="327"/>
    </row>
    <row r="205" spans="1:11" ht="12.75">
      <c r="A205" s="21"/>
      <c r="B205" s="6"/>
      <c r="C205" s="6"/>
      <c r="D205" s="6"/>
      <c r="E205" s="6"/>
      <c r="F205" s="6"/>
      <c r="G205" s="6"/>
      <c r="H205" s="328" t="s">
        <v>110</v>
      </c>
      <c r="I205" s="749">
        <f>IF(F185&gt;=15,IF(OR(E127=2,E127=3),'tablas '!G14,"SIGA"),"faltan datos")</f>
        <v>220.26863527994348</v>
      </c>
      <c r="J205" s="750"/>
      <c r="K205" s="329" t="s">
        <v>4</v>
      </c>
    </row>
    <row r="206" spans="1:11" ht="12.75">
      <c r="A206" s="21"/>
      <c r="B206" s="6"/>
      <c r="C206" s="6"/>
      <c r="D206" s="6"/>
      <c r="E206" s="6"/>
      <c r="F206" s="6"/>
      <c r="G206" s="78"/>
      <c r="H206" s="330"/>
      <c r="I206" s="331"/>
      <c r="J206" s="331"/>
      <c r="K206" s="332"/>
    </row>
    <row r="207" spans="1:8" ht="12.75">
      <c r="A207" s="21"/>
      <c r="B207" s="6"/>
      <c r="C207" s="6"/>
      <c r="D207" s="6"/>
      <c r="E207" s="6"/>
      <c r="F207" s="6"/>
      <c r="G207" s="77"/>
      <c r="H207" s="6"/>
    </row>
    <row r="208" spans="1:11" ht="13.5" thickBot="1">
      <c r="A208" s="21" t="s">
        <v>590</v>
      </c>
      <c r="C208" s="9"/>
      <c r="E208" s="9" t="s">
        <v>315</v>
      </c>
      <c r="F208" s="9"/>
      <c r="G208" s="427"/>
      <c r="H208" s="22"/>
      <c r="K208" s="3"/>
    </row>
    <row r="209" spans="2:11" ht="12.75">
      <c r="B209" s="44" t="s">
        <v>33</v>
      </c>
      <c r="C209" s="723" t="s">
        <v>355</v>
      </c>
      <c r="D209" s="724"/>
      <c r="E209" s="724"/>
      <c r="F209" s="724"/>
      <c r="G209" s="724"/>
      <c r="H209" s="724"/>
      <c r="I209" s="724"/>
      <c r="J209" s="724"/>
      <c r="K209" s="725"/>
    </row>
    <row r="210" spans="2:11" ht="12.75">
      <c r="B210" s="36"/>
      <c r="C210" s="34">
        <v>10</v>
      </c>
      <c r="D210" s="34">
        <v>15</v>
      </c>
      <c r="E210" s="34">
        <v>20</v>
      </c>
      <c r="F210" s="34">
        <v>25</v>
      </c>
      <c r="G210" s="34">
        <v>30</v>
      </c>
      <c r="H210" s="34">
        <v>35</v>
      </c>
      <c r="I210" s="34">
        <v>40</v>
      </c>
      <c r="J210" s="34">
        <v>45</v>
      </c>
      <c r="K210" s="35">
        <v>50</v>
      </c>
    </row>
    <row r="211" spans="2:11" ht="12.75">
      <c r="B211" s="45" t="s">
        <v>34</v>
      </c>
      <c r="C211" s="697" t="s">
        <v>340</v>
      </c>
      <c r="D211" s="698"/>
      <c r="E211" s="698"/>
      <c r="F211" s="698"/>
      <c r="G211" s="698"/>
      <c r="H211" s="698"/>
      <c r="I211" s="698"/>
      <c r="J211" s="698"/>
      <c r="K211" s="699"/>
    </row>
    <row r="212" spans="2:11" ht="12.75">
      <c r="B212" s="36">
        <v>140</v>
      </c>
      <c r="C212" s="37">
        <v>155</v>
      </c>
      <c r="D212" s="37">
        <v>160</v>
      </c>
      <c r="E212" s="37">
        <v>170</v>
      </c>
      <c r="F212" s="37">
        <v>175</v>
      </c>
      <c r="G212" s="37">
        <v>180</v>
      </c>
      <c r="H212" s="37">
        <v>185</v>
      </c>
      <c r="I212" s="37">
        <v>200</v>
      </c>
      <c r="J212" s="37">
        <v>210</v>
      </c>
      <c r="K212" s="38">
        <v>220</v>
      </c>
    </row>
    <row r="213" spans="2:11" ht="12.75">
      <c r="B213" s="36">
        <v>175</v>
      </c>
      <c r="C213" s="37">
        <v>190</v>
      </c>
      <c r="D213" s="37">
        <v>195</v>
      </c>
      <c r="E213" s="37">
        <v>205</v>
      </c>
      <c r="F213" s="37">
        <v>210</v>
      </c>
      <c r="G213" s="37">
        <v>215</v>
      </c>
      <c r="H213" s="37">
        <v>220</v>
      </c>
      <c r="I213" s="37">
        <v>235</v>
      </c>
      <c r="J213" s="37">
        <v>245</v>
      </c>
      <c r="K213" s="38">
        <v>255</v>
      </c>
    </row>
    <row r="214" spans="2:11" ht="12.75">
      <c r="B214" s="36">
        <v>210</v>
      </c>
      <c r="C214" s="37">
        <v>225</v>
      </c>
      <c r="D214" s="37">
        <v>230</v>
      </c>
      <c r="E214" s="37">
        <v>240</v>
      </c>
      <c r="F214" s="37">
        <v>245</v>
      </c>
      <c r="G214" s="37">
        <v>250</v>
      </c>
      <c r="H214" s="37">
        <v>255</v>
      </c>
      <c r="I214" s="37">
        <v>270</v>
      </c>
      <c r="J214" s="37">
        <v>280</v>
      </c>
      <c r="K214" s="38">
        <v>290</v>
      </c>
    </row>
    <row r="215" spans="2:11" ht="12.75">
      <c r="B215" s="36">
        <v>245</v>
      </c>
      <c r="C215" s="37">
        <v>260</v>
      </c>
      <c r="D215" s="37">
        <v>265</v>
      </c>
      <c r="E215" s="37">
        <v>275</v>
      </c>
      <c r="F215" s="37">
        <v>280</v>
      </c>
      <c r="G215" s="37">
        <v>285</v>
      </c>
      <c r="H215" s="37">
        <v>290</v>
      </c>
      <c r="I215" s="37">
        <v>305</v>
      </c>
      <c r="J215" s="37">
        <v>315</v>
      </c>
      <c r="K215" s="38">
        <v>325</v>
      </c>
    </row>
    <row r="216" spans="2:11" ht="12.75">
      <c r="B216" s="36">
        <v>280</v>
      </c>
      <c r="C216" s="37">
        <v>295</v>
      </c>
      <c r="D216" s="37">
        <v>300</v>
      </c>
      <c r="E216" s="37">
        <v>310</v>
      </c>
      <c r="F216" s="37">
        <v>315</v>
      </c>
      <c r="G216" s="37">
        <v>320</v>
      </c>
      <c r="H216" s="37">
        <v>325</v>
      </c>
      <c r="I216" s="37">
        <v>340</v>
      </c>
      <c r="J216" s="37">
        <v>350</v>
      </c>
      <c r="K216" s="38">
        <v>360</v>
      </c>
    </row>
    <row r="217" spans="2:11" ht="13.5" thickBot="1">
      <c r="B217" s="46">
        <v>350</v>
      </c>
      <c r="C217" s="42">
        <v>365</v>
      </c>
      <c r="D217" s="42">
        <v>370</v>
      </c>
      <c r="E217" s="42">
        <v>380</v>
      </c>
      <c r="F217" s="42">
        <v>385</v>
      </c>
      <c r="G217" s="42">
        <v>390</v>
      </c>
      <c r="H217" s="42">
        <v>395</v>
      </c>
      <c r="I217" s="42">
        <v>410</v>
      </c>
      <c r="J217" s="42">
        <v>420</v>
      </c>
      <c r="K217" s="43">
        <v>430</v>
      </c>
    </row>
    <row r="218" spans="2:11" ht="12.75">
      <c r="B218" s="22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2:11" ht="13.5" thickBot="1">
      <c r="B219" s="22"/>
      <c r="C219" s="13"/>
      <c r="D219" s="13"/>
      <c r="E219" s="13"/>
      <c r="F219" s="13"/>
      <c r="G219" s="22" t="s">
        <v>36</v>
      </c>
      <c r="H219" s="22" t="s">
        <v>317</v>
      </c>
      <c r="I219" s="705" t="s">
        <v>339</v>
      </c>
      <c r="J219" s="705"/>
      <c r="K219" s="13"/>
    </row>
    <row r="220" spans="2:11" ht="13.5" thickBot="1">
      <c r="B220" s="22"/>
      <c r="C220" s="13"/>
      <c r="D220" s="13"/>
      <c r="E220" s="13"/>
      <c r="F220" s="13"/>
      <c r="G220" s="346">
        <f>+'tablas '!D322</f>
        <v>210</v>
      </c>
      <c r="H220" s="347">
        <f>+H185</f>
        <v>7.663160656674242</v>
      </c>
      <c r="I220" s="700">
        <f>IF(F185&gt;=15,IF(OR(E127=2,E127=3),'tablas '!I59:J59,I199),"faltan datos")</f>
        <v>222.66316065667425</v>
      </c>
      <c r="J220" s="701"/>
      <c r="K220" s="13" t="s">
        <v>4</v>
      </c>
    </row>
    <row r="221" spans="2:11" ht="12.75">
      <c r="B221" s="22"/>
      <c r="C221" s="13"/>
      <c r="D221" s="13"/>
      <c r="E221" s="13"/>
      <c r="F221" s="21"/>
      <c r="G221" s="22"/>
      <c r="H221" s="21"/>
      <c r="I221" s="706" t="s">
        <v>338</v>
      </c>
      <c r="J221" s="706"/>
      <c r="K221" s="13"/>
    </row>
    <row r="222" spans="2:11" ht="12.75">
      <c r="B222" s="22"/>
      <c r="C222" s="13"/>
      <c r="D222" s="13"/>
      <c r="E222" s="13"/>
      <c r="F222" s="21"/>
      <c r="G222" s="22"/>
      <c r="H222" s="21"/>
      <c r="I222" s="127"/>
      <c r="J222" s="127"/>
      <c r="K222" s="13"/>
    </row>
    <row r="223" spans="2:11" ht="12.75">
      <c r="B223" s="22"/>
      <c r="C223" s="13"/>
      <c r="D223" s="13"/>
      <c r="E223" s="13"/>
      <c r="F223" s="21"/>
      <c r="G223" s="22"/>
      <c r="H223" s="21"/>
      <c r="I223" s="127"/>
      <c r="J223" s="127"/>
      <c r="K223" s="13"/>
    </row>
    <row r="224" spans="2:11" ht="12.75">
      <c r="B224" s="22"/>
      <c r="C224" s="13"/>
      <c r="D224" s="13"/>
      <c r="E224" s="13"/>
      <c r="F224" s="21"/>
      <c r="G224" s="22"/>
      <c r="H224" s="21"/>
      <c r="I224" s="127"/>
      <c r="J224" s="127"/>
      <c r="K224" s="13"/>
    </row>
    <row r="225" spans="2:11" ht="12.75">
      <c r="B225" s="22"/>
      <c r="C225" s="13"/>
      <c r="D225" s="13"/>
      <c r="E225" s="13"/>
      <c r="F225" s="21"/>
      <c r="G225" s="22"/>
      <c r="H225" s="21"/>
      <c r="I225" s="127"/>
      <c r="J225" s="127"/>
      <c r="K225" s="13"/>
    </row>
    <row r="226" spans="2:11" ht="12.75">
      <c r="B226" s="22"/>
      <c r="C226" s="13"/>
      <c r="D226" s="13"/>
      <c r="E226" s="13"/>
      <c r="F226" s="21"/>
      <c r="G226" s="22"/>
      <c r="H226" s="21"/>
      <c r="I226" s="127"/>
      <c r="J226" s="127"/>
      <c r="K226" s="13"/>
    </row>
    <row r="227" spans="2:11" ht="12.75">
      <c r="B227" s="22"/>
      <c r="C227" s="13"/>
      <c r="D227" s="13"/>
      <c r="E227" s="13"/>
      <c r="F227" s="21"/>
      <c r="G227" s="22"/>
      <c r="H227" s="21"/>
      <c r="I227" s="127"/>
      <c r="J227" s="127"/>
      <c r="K227" s="13"/>
    </row>
    <row r="228" spans="2:11" ht="12.75">
      <c r="B228" s="22"/>
      <c r="C228" s="13"/>
      <c r="D228" s="13"/>
      <c r="E228" s="13"/>
      <c r="F228" s="21"/>
      <c r="G228" s="22"/>
      <c r="H228" s="21"/>
      <c r="I228" s="127"/>
      <c r="J228" s="127"/>
      <c r="K228" s="13"/>
    </row>
    <row r="229" spans="2:11" ht="12.75">
      <c r="B229" s="22"/>
      <c r="C229" s="13"/>
      <c r="D229" s="13"/>
      <c r="E229" s="13"/>
      <c r="F229" s="21"/>
      <c r="G229" s="22"/>
      <c r="H229" s="21"/>
      <c r="I229" s="127"/>
      <c r="J229" s="127"/>
      <c r="K229" s="13"/>
    </row>
    <row r="230" spans="2:11" ht="12.75">
      <c r="B230" s="22"/>
      <c r="C230" s="13"/>
      <c r="D230" s="13"/>
      <c r="E230" s="13"/>
      <c r="F230" s="21"/>
      <c r="G230" s="22"/>
      <c r="H230" s="21"/>
      <c r="I230" s="127"/>
      <c r="J230" s="127"/>
      <c r="K230" s="13"/>
    </row>
    <row r="231" spans="2:11" ht="12.75">
      <c r="B231" s="22"/>
      <c r="C231" s="13"/>
      <c r="D231" s="13"/>
      <c r="E231" s="13"/>
      <c r="F231" s="21"/>
      <c r="G231" s="22"/>
      <c r="H231" s="21"/>
      <c r="I231" s="127"/>
      <c r="J231" s="127"/>
      <c r="K231" s="13"/>
    </row>
    <row r="232" spans="2:11" ht="12.75">
      <c r="B232" s="22"/>
      <c r="C232" s="13"/>
      <c r="D232" s="13"/>
      <c r="E232" s="13"/>
      <c r="F232" s="21"/>
      <c r="G232" s="22"/>
      <c r="H232" s="21"/>
      <c r="I232" s="127"/>
      <c r="J232" s="127"/>
      <c r="K232" s="13"/>
    </row>
    <row r="233" spans="2:11" ht="12.75">
      <c r="B233" s="22"/>
      <c r="C233" s="13"/>
      <c r="D233" s="13"/>
      <c r="E233" s="13"/>
      <c r="F233" s="21"/>
      <c r="G233" s="22"/>
      <c r="H233" s="21"/>
      <c r="I233" s="127"/>
      <c r="J233" s="127"/>
      <c r="K233" s="13"/>
    </row>
    <row r="234" spans="2:11" ht="12.75">
      <c r="B234" s="22"/>
      <c r="C234" s="13"/>
      <c r="D234" s="13"/>
      <c r="E234" s="13"/>
      <c r="F234" s="21"/>
      <c r="G234" s="22"/>
      <c r="H234" s="21"/>
      <c r="I234" s="127"/>
      <c r="J234" s="127"/>
      <c r="K234" s="13"/>
    </row>
    <row r="235" spans="2:11" ht="12.75">
      <c r="B235" s="22"/>
      <c r="C235" s="13"/>
      <c r="D235" s="13"/>
      <c r="E235" s="13"/>
      <c r="F235" s="21"/>
      <c r="G235" s="22"/>
      <c r="H235" s="21"/>
      <c r="I235" s="127"/>
      <c r="J235" s="127"/>
      <c r="K235" s="13"/>
    </row>
    <row r="236" spans="1:11" ht="12.75">
      <c r="A236" s="21">
        <v>4.2</v>
      </c>
      <c r="B236" s="4" t="s">
        <v>523</v>
      </c>
      <c r="C236" s="4"/>
      <c r="D236" s="4"/>
      <c r="E236" s="4"/>
      <c r="F236" s="21"/>
      <c r="G236" s="21"/>
      <c r="H236" s="21"/>
      <c r="I236" s="13"/>
      <c r="J236" s="13"/>
      <c r="K236" s="13"/>
    </row>
    <row r="237" spans="1:11" ht="12.75">
      <c r="A237" s="21"/>
      <c r="B237" s="6"/>
      <c r="C237" s="6"/>
      <c r="D237" s="6"/>
      <c r="E237" s="707" t="s">
        <v>112</v>
      </c>
      <c r="F237" s="708"/>
      <c r="G237" s="708"/>
      <c r="H237" s="709"/>
      <c r="K237" s="13"/>
    </row>
    <row r="238" spans="1:11" ht="12.75">
      <c r="A238" s="21"/>
      <c r="B238" s="6"/>
      <c r="C238" s="6"/>
      <c r="D238" s="6"/>
      <c r="E238" s="428"/>
      <c r="F238" s="428"/>
      <c r="G238" s="428"/>
      <c r="H238" s="428"/>
      <c r="K238" s="13"/>
    </row>
    <row r="239" spans="2:11" ht="12.75">
      <c r="B239" s="6"/>
      <c r="C239" s="6"/>
      <c r="D239" s="6"/>
      <c r="E239" s="6" t="s">
        <v>522</v>
      </c>
      <c r="F239" s="6"/>
      <c r="G239" s="6"/>
      <c r="H239" s="22" t="s">
        <v>111</v>
      </c>
      <c r="I239" s="447">
        <f>+H172</f>
        <v>0.03504609016189518</v>
      </c>
      <c r="J239" s="9"/>
      <c r="K239" s="13"/>
    </row>
    <row r="240" spans="2:11" ht="12.75">
      <c r="B240" s="22"/>
      <c r="C240" s="23"/>
      <c r="D240" s="23" t="s">
        <v>524</v>
      </c>
      <c r="E240" s="13"/>
      <c r="F240" s="6"/>
      <c r="G240" s="6"/>
      <c r="H240" s="6"/>
      <c r="K240" s="13"/>
    </row>
    <row r="241" spans="2:11" ht="13.5" thickBot="1">
      <c r="B241" s="22"/>
      <c r="C241" s="24" t="s">
        <v>23</v>
      </c>
      <c r="D241" s="24"/>
      <c r="E241" s="13"/>
      <c r="F241" s="6"/>
      <c r="G241" s="6"/>
      <c r="H241" s="6"/>
      <c r="K241" s="13"/>
    </row>
    <row r="242" spans="2:12" ht="12.75">
      <c r="B242" s="25" t="s">
        <v>24</v>
      </c>
      <c r="C242" s="26" t="s">
        <v>25</v>
      </c>
      <c r="D242" s="27"/>
      <c r="E242" s="28"/>
      <c r="F242" s="23"/>
      <c r="G242" s="23"/>
      <c r="H242" s="6"/>
      <c r="K242" s="13"/>
      <c r="L242">
        <f>K128-E128</f>
        <v>44</v>
      </c>
    </row>
    <row r="243" spans="2:11" ht="12.75">
      <c r="B243" s="29" t="s">
        <v>19</v>
      </c>
      <c r="C243" s="30" t="s">
        <v>26</v>
      </c>
      <c r="D243" s="31"/>
      <c r="E243" s="32"/>
      <c r="F243" s="6"/>
      <c r="G243" s="6"/>
      <c r="H243" s="6"/>
      <c r="K243" s="13"/>
    </row>
    <row r="244" spans="2:11" ht="12.75">
      <c r="B244" s="33" t="s">
        <v>27</v>
      </c>
      <c r="C244" s="34" t="s">
        <v>28</v>
      </c>
      <c r="D244" s="34" t="s">
        <v>29</v>
      </c>
      <c r="E244" s="35" t="s">
        <v>30</v>
      </c>
      <c r="F244" s="6"/>
      <c r="G244" s="6"/>
      <c r="H244" s="6"/>
      <c r="K244" s="13"/>
    </row>
    <row r="245" spans="2:11" ht="12.75">
      <c r="B245" s="36">
        <v>1</v>
      </c>
      <c r="C245" s="37">
        <v>1.376</v>
      </c>
      <c r="D245" s="37">
        <v>3.078</v>
      </c>
      <c r="E245" s="38">
        <v>6.14</v>
      </c>
      <c r="F245" s="6"/>
      <c r="G245" s="6"/>
      <c r="H245" s="6"/>
      <c r="K245" s="13"/>
    </row>
    <row r="246" spans="2:11" ht="12.75">
      <c r="B246" s="36">
        <f aca="true" t="shared" si="10" ref="B246:B254">+B245+1</f>
        <v>2</v>
      </c>
      <c r="C246" s="37">
        <v>1.061</v>
      </c>
      <c r="D246" s="37">
        <v>1.886</v>
      </c>
      <c r="E246" s="38">
        <v>2.92</v>
      </c>
      <c r="F246" s="6"/>
      <c r="G246" s="710" t="s">
        <v>533</v>
      </c>
      <c r="H246" s="711"/>
      <c r="I246" s="711"/>
      <c r="J246" s="434" t="s">
        <v>532</v>
      </c>
      <c r="K246" s="13"/>
    </row>
    <row r="247" spans="2:11" ht="12.75">
      <c r="B247" s="36">
        <f t="shared" si="10"/>
        <v>3</v>
      </c>
      <c r="C247" s="37">
        <v>0.978</v>
      </c>
      <c r="D247" s="37">
        <v>1.638</v>
      </c>
      <c r="E247" s="38">
        <v>2.353</v>
      </c>
      <c r="F247" s="6"/>
      <c r="G247" s="435"/>
      <c r="H247" s="337"/>
      <c r="I247" s="436"/>
      <c r="J247" s="439">
        <f>+'tablas '!$J$39</f>
        <v>0.854</v>
      </c>
      <c r="K247" s="13"/>
    </row>
    <row r="248" spans="2:11" ht="12.75">
      <c r="B248" s="36">
        <f t="shared" si="10"/>
        <v>4</v>
      </c>
      <c r="C248" s="37">
        <v>0.941</v>
      </c>
      <c r="D248" s="37">
        <v>1.533</v>
      </c>
      <c r="E248" s="38">
        <v>2.132</v>
      </c>
      <c r="F248" s="6"/>
      <c r="G248" s="435"/>
      <c r="H248" s="337"/>
      <c r="I248" s="423"/>
      <c r="J248" s="422"/>
      <c r="K248" s="13"/>
    </row>
    <row r="249" spans="2:11" ht="12.75">
      <c r="B249" s="36">
        <f t="shared" si="10"/>
        <v>5</v>
      </c>
      <c r="C249" s="37">
        <v>0.92</v>
      </c>
      <c r="D249" s="37">
        <v>1.476</v>
      </c>
      <c r="E249" s="38">
        <v>2.015</v>
      </c>
      <c r="F249" s="21"/>
      <c r="G249" s="437" t="s">
        <v>31</v>
      </c>
      <c r="H249" s="438">
        <f>+IF(E127=2,E173/(1-J247*I239),"0")</f>
        <v>216.47908055036288</v>
      </c>
      <c r="I249" s="440" t="s">
        <v>4</v>
      </c>
      <c r="J249" s="422"/>
      <c r="K249" s="13"/>
    </row>
    <row r="250" spans="2:11" ht="12.75">
      <c r="B250" s="36">
        <f t="shared" si="10"/>
        <v>6</v>
      </c>
      <c r="C250" s="37">
        <v>0.906</v>
      </c>
      <c r="D250" s="37">
        <v>1.44</v>
      </c>
      <c r="E250" s="38">
        <v>1.943</v>
      </c>
      <c r="F250" s="6"/>
      <c r="G250" s="330"/>
      <c r="H250" s="338"/>
      <c r="I250" s="331"/>
      <c r="J250" s="332"/>
      <c r="K250" s="13"/>
    </row>
    <row r="251" spans="2:11" ht="12.75">
      <c r="B251" s="36">
        <f t="shared" si="10"/>
        <v>7</v>
      </c>
      <c r="C251" s="37">
        <v>0.896</v>
      </c>
      <c r="D251" s="37">
        <v>1.415</v>
      </c>
      <c r="E251" s="38">
        <v>1.895</v>
      </c>
      <c r="F251" s="6"/>
      <c r="G251" s="6"/>
      <c r="H251" s="6"/>
      <c r="K251" s="13"/>
    </row>
    <row r="252" spans="2:11" ht="12.75">
      <c r="B252" s="36">
        <f t="shared" si="10"/>
        <v>8</v>
      </c>
      <c r="C252" s="37">
        <v>0.889</v>
      </c>
      <c r="D252" s="37">
        <v>1.397</v>
      </c>
      <c r="E252" s="38">
        <v>1.86</v>
      </c>
      <c r="F252" s="6"/>
      <c r="G252" s="6"/>
      <c r="H252" s="6"/>
      <c r="I252" s="22"/>
      <c r="K252" s="13"/>
    </row>
    <row r="253" spans="2:11" ht="12.75">
      <c r="B253" s="36">
        <f t="shared" si="10"/>
        <v>9</v>
      </c>
      <c r="C253" s="37">
        <v>0.883</v>
      </c>
      <c r="D253" s="37">
        <v>1.383</v>
      </c>
      <c r="E253" s="38">
        <v>1.838</v>
      </c>
      <c r="F253" s="6"/>
      <c r="G253" s="6"/>
      <c r="H253" s="6"/>
      <c r="I253" s="21"/>
      <c r="J253" s="21"/>
      <c r="K253" s="13"/>
    </row>
    <row r="254" spans="2:11" ht="12.75">
      <c r="B254" s="36">
        <f t="shared" si="10"/>
        <v>10</v>
      </c>
      <c r="C254" s="37">
        <v>0.879</v>
      </c>
      <c r="D254" s="37">
        <v>1.372</v>
      </c>
      <c r="E254" s="38">
        <v>1.812</v>
      </c>
      <c r="F254" s="6"/>
      <c r="G254" s="22"/>
      <c r="H254" s="22"/>
      <c r="J254" s="39"/>
      <c r="K254" s="13"/>
    </row>
    <row r="255" spans="2:11" ht="12.75">
      <c r="B255" s="36">
        <f>+B254+5</f>
        <v>15</v>
      </c>
      <c r="C255" s="37">
        <v>0.866</v>
      </c>
      <c r="D255" s="37">
        <v>1.341</v>
      </c>
      <c r="E255" s="38">
        <v>1.753</v>
      </c>
      <c r="F255" s="6"/>
      <c r="G255" s="21"/>
      <c r="H255" s="6"/>
      <c r="I255" s="21"/>
      <c r="J255" s="39"/>
      <c r="K255" s="13"/>
    </row>
    <row r="256" spans="2:11" ht="12.75">
      <c r="B256" s="36">
        <f>+B255+5</f>
        <v>20</v>
      </c>
      <c r="C256" s="37">
        <v>0.86</v>
      </c>
      <c r="D256" s="37">
        <v>1.325</v>
      </c>
      <c r="E256" s="38">
        <v>1.725</v>
      </c>
      <c r="F256" s="6"/>
      <c r="G256" s="6"/>
      <c r="H256" s="6"/>
      <c r="K256" s="13"/>
    </row>
    <row r="257" spans="2:11" ht="12.75">
      <c r="B257" s="36">
        <f>+B256+5</f>
        <v>25</v>
      </c>
      <c r="C257" s="37">
        <v>0.856</v>
      </c>
      <c r="D257" s="37">
        <v>1.316</v>
      </c>
      <c r="E257" s="38">
        <v>1.708</v>
      </c>
      <c r="F257" s="6"/>
      <c r="G257" s="78"/>
      <c r="H257" s="21"/>
      <c r="I257" s="40"/>
      <c r="K257" s="13"/>
    </row>
    <row r="258" spans="2:11" ht="12.75">
      <c r="B258" s="36">
        <f>+B257+5</f>
        <v>30</v>
      </c>
      <c r="C258" s="37">
        <v>0.854</v>
      </c>
      <c r="D258" s="37">
        <v>1.31</v>
      </c>
      <c r="E258" s="38">
        <v>1.697</v>
      </c>
      <c r="F258" s="6"/>
      <c r="G258" s="6"/>
      <c r="H258" s="6"/>
      <c r="K258" s="13"/>
    </row>
    <row r="259" spans="2:11" ht="13.5" thickBot="1">
      <c r="B259" s="41" t="s">
        <v>32</v>
      </c>
      <c r="C259" s="42">
        <v>0.842</v>
      </c>
      <c r="D259" s="42">
        <v>1.282</v>
      </c>
      <c r="E259" s="43">
        <v>1.645</v>
      </c>
      <c r="F259" s="6"/>
      <c r="G259" s="6"/>
      <c r="H259" s="6"/>
      <c r="K259" s="13"/>
    </row>
    <row r="260" spans="2:11" ht="12.75">
      <c r="B260" s="433"/>
      <c r="C260" s="127"/>
      <c r="D260" s="127"/>
      <c r="E260" s="127"/>
      <c r="F260" s="6"/>
      <c r="G260" s="6"/>
      <c r="H260" s="6"/>
      <c r="K260" s="13"/>
    </row>
    <row r="261" spans="2:11" ht="12.75">
      <c r="B261" s="433"/>
      <c r="C261" s="127"/>
      <c r="D261" s="127"/>
      <c r="E261" s="127"/>
      <c r="F261" s="6"/>
      <c r="G261" s="6"/>
      <c r="H261" s="6"/>
      <c r="K261" s="13"/>
    </row>
    <row r="262" spans="1:11" ht="12.75">
      <c r="A262" s="21">
        <v>4.3</v>
      </c>
      <c r="B262" s="4" t="s">
        <v>591</v>
      </c>
      <c r="C262" s="127"/>
      <c r="D262" s="127"/>
      <c r="E262" s="127"/>
      <c r="F262" s="6"/>
      <c r="G262" s="6"/>
      <c r="H262" s="6"/>
      <c r="K262" s="13"/>
    </row>
    <row r="263" spans="2:11" ht="13.5" thickBot="1">
      <c r="B263" s="22"/>
      <c r="C263" s="13"/>
      <c r="D263" s="13"/>
      <c r="E263" s="13"/>
      <c r="F263" s="21"/>
      <c r="G263" s="22"/>
      <c r="H263" s="21"/>
      <c r="I263" s="127"/>
      <c r="J263" s="127"/>
      <c r="K263" s="13"/>
    </row>
    <row r="264" spans="2:11" ht="12.75">
      <c r="B264" s="22"/>
      <c r="C264" s="379"/>
      <c r="D264" s="380"/>
      <c r="E264" s="380"/>
      <c r="F264" s="381"/>
      <c r="G264" s="376"/>
      <c r="H264" s="381"/>
      <c r="I264" s="382"/>
      <c r="J264" s="127"/>
      <c r="K264" s="13"/>
    </row>
    <row r="265" spans="2:11" ht="12.75">
      <c r="B265" s="22"/>
      <c r="C265" s="383"/>
      <c r="D265" s="686" t="s">
        <v>472</v>
      </c>
      <c r="E265" s="687"/>
      <c r="F265" s="688"/>
      <c r="G265" s="384"/>
      <c r="H265" s="384"/>
      <c r="I265" s="385"/>
      <c r="J265" s="13"/>
      <c r="K265" s="13"/>
    </row>
    <row r="266" spans="2:11" ht="12.75">
      <c r="B266" s="22"/>
      <c r="C266" s="689" t="s">
        <v>349</v>
      </c>
      <c r="D266" s="690"/>
      <c r="E266" s="690"/>
      <c r="F266" s="691"/>
      <c r="G266" s="394" t="s">
        <v>473</v>
      </c>
      <c r="H266" s="395">
        <f>+G220</f>
        <v>210</v>
      </c>
      <c r="I266" s="492" t="s">
        <v>4</v>
      </c>
      <c r="J266" s="13"/>
      <c r="K266" s="13"/>
    </row>
    <row r="267" spans="2:11" ht="12.75">
      <c r="B267" s="22"/>
      <c r="C267" s="692" t="s">
        <v>350</v>
      </c>
      <c r="D267" s="693"/>
      <c r="E267" s="693"/>
      <c r="F267" s="694"/>
      <c r="G267" s="396" t="s">
        <v>352</v>
      </c>
      <c r="H267" s="397">
        <f>+MAX(I220,I205,H249)</f>
        <v>222.66316065667425</v>
      </c>
      <c r="I267" s="493" t="s">
        <v>4</v>
      </c>
      <c r="J267" s="13"/>
      <c r="K267" s="13"/>
    </row>
    <row r="268" spans="2:11" ht="12.75">
      <c r="B268" s="22"/>
      <c r="C268" s="386"/>
      <c r="D268" s="384"/>
      <c r="E268" s="384"/>
      <c r="F268" s="384"/>
      <c r="G268" s="387"/>
      <c r="H268" s="388"/>
      <c r="I268" s="385"/>
      <c r="J268" s="13"/>
      <c r="K268" s="13"/>
    </row>
    <row r="269" spans="2:11" ht="13.5" thickBot="1">
      <c r="B269" s="22"/>
      <c r="C269" s="389"/>
      <c r="D269" s="390"/>
      <c r="E269" s="390"/>
      <c r="F269" s="390"/>
      <c r="G269" s="391"/>
      <c r="H269" s="392"/>
      <c r="I269" s="393"/>
      <c r="J269" s="13"/>
      <c r="K269" s="13"/>
    </row>
    <row r="270" spans="2:11" ht="12.75">
      <c r="B270" s="22"/>
      <c r="C270" s="126"/>
      <c r="D270" s="127"/>
      <c r="E270" s="127"/>
      <c r="F270" s="127"/>
      <c r="G270" s="128"/>
      <c r="H270" s="125"/>
      <c r="I270" s="13"/>
      <c r="J270" s="13"/>
      <c r="K270" s="13"/>
    </row>
    <row r="271" spans="2:11" ht="12.75">
      <c r="B271" s="22"/>
      <c r="C271" s="126"/>
      <c r="D271" s="127"/>
      <c r="E271" s="127"/>
      <c r="F271" s="127"/>
      <c r="G271" s="128"/>
      <c r="H271" s="125"/>
      <c r="I271" s="13"/>
      <c r="J271" s="13"/>
      <c r="K271" s="13"/>
    </row>
    <row r="272" spans="2:11" ht="12.75">
      <c r="B272" s="22"/>
      <c r="C272" s="126"/>
      <c r="D272" s="127"/>
      <c r="E272" s="127"/>
      <c r="F272" s="127"/>
      <c r="G272" s="128"/>
      <c r="H272" s="125"/>
      <c r="I272" s="13"/>
      <c r="J272" s="13"/>
      <c r="K272" s="13"/>
    </row>
    <row r="273" spans="2:11" ht="12.75">
      <c r="B273" s="22"/>
      <c r="C273" s="126"/>
      <c r="D273" s="127"/>
      <c r="E273" s="127"/>
      <c r="F273" s="127"/>
      <c r="G273" s="128"/>
      <c r="H273" s="125"/>
      <c r="I273" s="13"/>
      <c r="J273" s="13"/>
      <c r="K273" s="13"/>
    </row>
  </sheetData>
  <sheetProtection password="BF4C" sheet="1" objects="1" scenarios="1" selectLockedCells="1"/>
  <mergeCells count="60">
    <mergeCell ref="I205:J205"/>
    <mergeCell ref="C209:K209"/>
    <mergeCell ref="D86:E86"/>
    <mergeCell ref="D87:E87"/>
    <mergeCell ref="D88:E88"/>
    <mergeCell ref="B200:C200"/>
    <mergeCell ref="D89:E89"/>
    <mergeCell ref="E192:H192"/>
    <mergeCell ref="C185:D185"/>
    <mergeCell ref="F185:G185"/>
    <mergeCell ref="H185:I185"/>
    <mergeCell ref="I178:J178"/>
    <mergeCell ref="D48:E48"/>
    <mergeCell ref="F48:H48"/>
    <mergeCell ref="D49:E49"/>
    <mergeCell ref="D50:E50"/>
    <mergeCell ref="G170:H170"/>
    <mergeCell ref="A130:E130"/>
    <mergeCell ref="G125:H125"/>
    <mergeCell ref="G130:K130"/>
    <mergeCell ref="C75:K75"/>
    <mergeCell ref="E85:F85"/>
    <mergeCell ref="I199:J199"/>
    <mergeCell ref="I123:K123"/>
    <mergeCell ref="C182:D182"/>
    <mergeCell ref="C183:D183"/>
    <mergeCell ref="C184:D184"/>
    <mergeCell ref="F183:G183"/>
    <mergeCell ref="H183:I183"/>
    <mergeCell ref="B198:C198"/>
    <mergeCell ref="I221:J221"/>
    <mergeCell ref="E237:H237"/>
    <mergeCell ref="G246:I246"/>
    <mergeCell ref="B1:J1"/>
    <mergeCell ref="B2:J2"/>
    <mergeCell ref="D47:E47"/>
    <mergeCell ref="F47:H47"/>
    <mergeCell ref="D51:E51"/>
    <mergeCell ref="D52:E52"/>
    <mergeCell ref="C73:K73"/>
    <mergeCell ref="F186:G186"/>
    <mergeCell ref="D265:F265"/>
    <mergeCell ref="C266:F266"/>
    <mergeCell ref="C267:F267"/>
    <mergeCell ref="B199:C199"/>
    <mergeCell ref="C211:K211"/>
    <mergeCell ref="I220:J220"/>
    <mergeCell ref="C196:D196"/>
    <mergeCell ref="B197:C197"/>
    <mergeCell ref="I219:J219"/>
    <mergeCell ref="I121:K121"/>
    <mergeCell ref="I122:K122"/>
    <mergeCell ref="H92:K92"/>
    <mergeCell ref="C187:D187"/>
    <mergeCell ref="H182:I182"/>
    <mergeCell ref="H184:I184"/>
    <mergeCell ref="F182:G182"/>
    <mergeCell ref="C186:D186"/>
    <mergeCell ref="F184:G184"/>
    <mergeCell ref="H186:I186"/>
  </mergeCells>
  <printOptions/>
  <pageMargins left="0.984251968503937" right="0.1968503937007874" top="0.7874015748031497" bottom="0.5905511811023623" header="0.3937007874015748" footer="0.3937007874015748"/>
  <pageSetup horizontalDpi="120" verticalDpi="120" orientation="portrait" paperSize="9" scale="98" r:id="rId3"/>
  <headerFooter alignWithMargins="0">
    <oddHeader>&amp;L&amp;"Arial Narrow,Normal"&amp;6TÉC. LABORATORIO
JONY C. GUTIÉRREZ ABANTO&amp;R&amp;"Arial Narrow,Normal"&amp;6ASESOR TÉCNICO
UNIVERSIDAD PERUANA DE CIENCIAS APLICADAS</oddHeader>
    <oddFooter>&amp;C&amp;7PROL. PRIMAVERA 2390 - SURCO     jony.gutierrez@upc.edu.pe     9869-35836  /  3133333 (6916)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L144"/>
  <sheetViews>
    <sheetView showGridLines="0" tabSelected="1" zoomScaleSheetLayoutView="100" workbookViewId="0" topLeftCell="A1">
      <selection activeCell="E23" sqref="E23"/>
    </sheetView>
  </sheetViews>
  <sheetFormatPr defaultColWidth="11.421875" defaultRowHeight="12.75"/>
  <cols>
    <col min="1" max="1" width="4.7109375" style="517" customWidth="1"/>
    <col min="2" max="3" width="8.7109375" style="517" customWidth="1"/>
    <col min="4" max="4" width="11.00390625" style="517" customWidth="1"/>
    <col min="5" max="6" width="8.7109375" style="517" customWidth="1"/>
    <col min="7" max="7" width="11.8515625" style="517" customWidth="1"/>
    <col min="8" max="9" width="10.7109375" style="517" customWidth="1"/>
    <col min="10" max="10" width="11.140625" style="517" customWidth="1"/>
    <col min="11" max="11" width="8.7109375" style="517" customWidth="1"/>
    <col min="12" max="12" width="7.8515625" style="517" customWidth="1"/>
    <col min="13" max="13" width="3.57421875" style="512" customWidth="1"/>
    <col min="14" max="48" width="11.421875" style="512" customWidth="1"/>
    <col min="49" max="16384" width="11.421875" style="517" customWidth="1"/>
  </cols>
  <sheetData>
    <row r="1" spans="1:12" ht="18.75">
      <c r="A1" s="753" t="s">
        <v>0</v>
      </c>
      <c r="B1" s="753"/>
      <c r="C1" s="753"/>
      <c r="D1" s="753"/>
      <c r="E1" s="753"/>
      <c r="F1" s="753"/>
      <c r="G1" s="753"/>
      <c r="H1" s="753"/>
      <c r="I1" s="753"/>
      <c r="J1" s="753"/>
      <c r="K1" s="516"/>
      <c r="L1" s="516"/>
    </row>
    <row r="2" spans="1:12" ht="15.75">
      <c r="A2" s="754" t="s">
        <v>1</v>
      </c>
      <c r="B2" s="754"/>
      <c r="C2" s="754"/>
      <c r="D2" s="754"/>
      <c r="E2" s="754"/>
      <c r="F2" s="754"/>
      <c r="G2" s="754"/>
      <c r="H2" s="754"/>
      <c r="I2" s="754"/>
      <c r="J2" s="754"/>
      <c r="K2" s="512"/>
      <c r="L2" s="518"/>
    </row>
    <row r="3" spans="1:12" ht="15.75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2"/>
      <c r="L3" s="518"/>
    </row>
    <row r="4" spans="1:12" ht="15.75">
      <c r="A4" s="520"/>
      <c r="B4" s="521" t="s">
        <v>600</v>
      </c>
      <c r="C4" s="519"/>
      <c r="D4" s="522" t="s">
        <v>599</v>
      </c>
      <c r="E4" s="519"/>
      <c r="F4" s="519"/>
      <c r="G4" s="519"/>
      <c r="H4" s="519"/>
      <c r="I4" s="519"/>
      <c r="J4" s="519"/>
      <c r="K4" s="512"/>
      <c r="L4" s="518"/>
    </row>
    <row r="5" spans="1:12" ht="12.75">
      <c r="A5" s="523"/>
      <c r="B5" s="524"/>
      <c r="C5" s="524"/>
      <c r="D5" s="524"/>
      <c r="E5" s="524"/>
      <c r="F5" s="524"/>
      <c r="G5" s="525"/>
      <c r="H5" s="525"/>
      <c r="I5" s="525"/>
      <c r="J5" s="525"/>
      <c r="K5" s="525"/>
      <c r="L5" s="518"/>
    </row>
    <row r="6" spans="1:12" ht="12.75">
      <c r="A6" s="526">
        <v>1</v>
      </c>
      <c r="B6" s="527" t="s">
        <v>487</v>
      </c>
      <c r="C6" s="524"/>
      <c r="D6" s="524"/>
      <c r="E6" s="524"/>
      <c r="F6" s="524"/>
      <c r="G6" s="525"/>
      <c r="H6" s="525"/>
      <c r="I6" s="525"/>
      <c r="J6" s="525"/>
      <c r="K6" s="525"/>
      <c r="L6" s="518"/>
    </row>
    <row r="7" spans="1:12" ht="12.75">
      <c r="A7" s="526"/>
      <c r="B7" s="527"/>
      <c r="C7" s="524"/>
      <c r="D7" s="524"/>
      <c r="E7" s="524"/>
      <c r="F7" s="524"/>
      <c r="G7" s="525"/>
      <c r="H7" s="525"/>
      <c r="I7" s="525"/>
      <c r="J7" s="525"/>
      <c r="K7" s="525"/>
      <c r="L7" s="518"/>
    </row>
    <row r="8" spans="1:12" ht="12.75">
      <c r="A8" s="526"/>
      <c r="B8" s="527"/>
      <c r="C8" s="524"/>
      <c r="D8" s="524"/>
      <c r="E8" s="524"/>
      <c r="F8" s="524"/>
      <c r="G8" s="525"/>
      <c r="H8" s="525"/>
      <c r="I8" s="525"/>
      <c r="J8" s="525"/>
      <c r="K8" s="525"/>
      <c r="L8" s="518"/>
    </row>
    <row r="9" spans="1:12" ht="12.75">
      <c r="A9" s="516"/>
      <c r="B9" s="528"/>
      <c r="C9" s="524"/>
      <c r="D9" s="512"/>
      <c r="E9" s="512"/>
      <c r="F9" s="512"/>
      <c r="G9" s="512"/>
      <c r="H9" s="525"/>
      <c r="I9" s="525"/>
      <c r="J9" s="525"/>
      <c r="K9" s="525"/>
      <c r="L9" s="518"/>
    </row>
    <row r="10" spans="1:12" ht="12.75">
      <c r="A10" s="523"/>
      <c r="B10" s="524"/>
      <c r="C10" s="524"/>
      <c r="D10" s="767" t="s">
        <v>490</v>
      </c>
      <c r="E10" s="768"/>
      <c r="F10" s="769" t="s">
        <v>491</v>
      </c>
      <c r="G10" s="768"/>
      <c r="H10" s="525"/>
      <c r="I10" s="525"/>
      <c r="J10" s="525"/>
      <c r="K10" s="525"/>
      <c r="L10" s="518"/>
    </row>
    <row r="11" spans="1:12" ht="12.75">
      <c r="A11" s="523"/>
      <c r="B11" s="525"/>
      <c r="C11" s="525"/>
      <c r="D11" s="776" t="s">
        <v>674</v>
      </c>
      <c r="E11" s="777"/>
      <c r="F11" s="776" t="s">
        <v>675</v>
      </c>
      <c r="G11" s="777"/>
      <c r="H11" s="525"/>
      <c r="I11" s="525"/>
      <c r="J11" s="525"/>
      <c r="K11" s="525"/>
      <c r="L11" s="518"/>
    </row>
    <row r="12" spans="1:12" ht="12.75">
      <c r="A12" s="523"/>
      <c r="B12" s="525"/>
      <c r="C12" s="525"/>
      <c r="D12" s="529" t="str">
        <f>+DSP!G266</f>
        <v>f´c  =</v>
      </c>
      <c r="E12" s="530">
        <f>+DSP!$H$266</f>
        <v>210</v>
      </c>
      <c r="F12" s="529" t="str">
        <f>+DSP!G267</f>
        <v>f´c r =</v>
      </c>
      <c r="G12" s="530">
        <f>+DSP!$H$267</f>
        <v>222.66316065667425</v>
      </c>
      <c r="H12" s="525"/>
      <c r="I12" s="525"/>
      <c r="J12" s="525"/>
      <c r="K12" s="525"/>
      <c r="L12" s="518"/>
    </row>
    <row r="13" spans="1:12" ht="12.75">
      <c r="A13" s="523"/>
      <c r="B13" s="525"/>
      <c r="C13" s="525"/>
      <c r="D13" s="531"/>
      <c r="E13" s="532"/>
      <c r="F13" s="532"/>
      <c r="G13" s="533"/>
      <c r="H13" s="525"/>
      <c r="I13" s="525"/>
      <c r="J13" s="525"/>
      <c r="K13" s="525"/>
      <c r="L13" s="518"/>
    </row>
    <row r="14" spans="1:12" ht="12.75">
      <c r="A14" s="526">
        <v>2</v>
      </c>
      <c r="B14" s="527" t="s">
        <v>37</v>
      </c>
      <c r="C14" s="525"/>
      <c r="D14" s="534"/>
      <c r="E14" s="534"/>
      <c r="F14" s="534"/>
      <c r="G14" s="525"/>
      <c r="H14" s="525"/>
      <c r="I14" s="525"/>
      <c r="J14" s="525"/>
      <c r="K14" s="525"/>
      <c r="L14" s="518"/>
    </row>
    <row r="15" spans="1:12" ht="12.75">
      <c r="A15" s="516">
        <v>2.1</v>
      </c>
      <c r="B15" s="535" t="s">
        <v>353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18"/>
    </row>
    <row r="16" spans="1:12" ht="12.75">
      <c r="A16" s="516"/>
      <c r="B16" s="528"/>
      <c r="C16" s="536"/>
      <c r="D16" s="528"/>
      <c r="E16" s="528"/>
      <c r="F16" s="528"/>
      <c r="G16" s="528"/>
      <c r="H16" s="528"/>
      <c r="I16" s="528"/>
      <c r="J16" s="528"/>
      <c r="K16" s="528"/>
      <c r="L16" s="518"/>
    </row>
    <row r="17" spans="1:12" ht="13.5" thickBot="1">
      <c r="A17" s="526"/>
      <c r="B17" s="537"/>
      <c r="C17" s="528"/>
      <c r="D17" s="528"/>
      <c r="E17" s="528"/>
      <c r="F17" s="528"/>
      <c r="G17" s="528"/>
      <c r="H17" s="528"/>
      <c r="I17" s="528"/>
      <c r="J17" s="528"/>
      <c r="K17" s="528"/>
      <c r="L17" s="518"/>
    </row>
    <row r="18" spans="1:12" ht="27" customHeight="1" thickBot="1">
      <c r="A18" s="516"/>
      <c r="B18" s="538"/>
      <c r="C18" s="761"/>
      <c r="D18" s="762"/>
      <c r="E18" s="762"/>
      <c r="F18" s="762"/>
      <c r="G18" s="763"/>
      <c r="H18" s="539">
        <f>VLOOKUP('tablas '!H338,CEMENTOS,4)</f>
        <v>3.11</v>
      </c>
      <c r="I18" s="817">
        <f>VLOOKUP('tablas '!H338,CEMENTOS,5)</f>
        <v>3500</v>
      </c>
      <c r="J18" s="818"/>
      <c r="K18" s="528"/>
      <c r="L18" s="528"/>
    </row>
    <row r="19" spans="1:12" ht="12.75">
      <c r="A19" s="516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</row>
    <row r="20" spans="1:12" ht="12.75">
      <c r="A20" s="516">
        <v>2.2</v>
      </c>
      <c r="B20" s="535" t="s">
        <v>375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</row>
    <row r="21" spans="1:12" ht="12.75">
      <c r="A21" s="516"/>
      <c r="B21" s="535"/>
      <c r="C21" s="528"/>
      <c r="D21" s="528"/>
      <c r="E21" s="526" t="s">
        <v>63</v>
      </c>
      <c r="F21" s="526"/>
      <c r="G21" s="528"/>
      <c r="H21" s="528"/>
      <c r="I21" s="528"/>
      <c r="J21" s="528"/>
      <c r="K21" s="528"/>
      <c r="L21" s="528"/>
    </row>
    <row r="22" spans="1:12" ht="12.75">
      <c r="A22" s="516"/>
      <c r="B22" s="535" t="s">
        <v>401</v>
      </c>
      <c r="C22" s="528"/>
      <c r="D22" s="526" t="s">
        <v>665</v>
      </c>
      <c r="E22" s="526" t="s">
        <v>735</v>
      </c>
      <c r="F22" s="526"/>
      <c r="G22" s="528"/>
      <c r="H22" s="537" t="s">
        <v>664</v>
      </c>
      <c r="I22" s="537"/>
      <c r="J22" s="528"/>
      <c r="K22" s="537" t="s">
        <v>667</v>
      </c>
      <c r="L22" s="528"/>
    </row>
    <row r="23" spans="1:12" ht="20.25" customHeight="1">
      <c r="A23" s="516"/>
      <c r="B23" s="540" t="s">
        <v>452</v>
      </c>
      <c r="C23" s="541"/>
      <c r="D23" s="541"/>
      <c r="E23" s="542" t="s">
        <v>64</v>
      </c>
      <c r="F23" s="821" t="s">
        <v>690</v>
      </c>
      <c r="G23" s="822"/>
      <c r="H23" s="822"/>
      <c r="I23" s="822"/>
      <c r="J23" s="823"/>
      <c r="K23" s="543" t="s">
        <v>691</v>
      </c>
      <c r="L23" s="528"/>
    </row>
    <row r="24" spans="1:12" ht="21" customHeight="1">
      <c r="A24" s="516"/>
      <c r="B24" s="544" t="s">
        <v>73</v>
      </c>
      <c r="C24" s="545"/>
      <c r="D24" s="545"/>
      <c r="E24" s="546" t="str">
        <f>+'tablas '!$N$127</f>
        <v>1/2"</v>
      </c>
      <c r="F24" s="824" t="s">
        <v>690</v>
      </c>
      <c r="G24" s="825"/>
      <c r="H24" s="825"/>
      <c r="I24" s="825"/>
      <c r="J24" s="826"/>
      <c r="K24" s="547" t="s">
        <v>691</v>
      </c>
      <c r="L24" s="528"/>
    </row>
    <row r="25" spans="1:12" ht="12.75">
      <c r="A25" s="512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</row>
    <row r="26" spans="1:12" ht="12.75">
      <c r="A26" s="512"/>
      <c r="B26" s="548" t="s">
        <v>51</v>
      </c>
      <c r="C26" s="764" t="s">
        <v>52</v>
      </c>
      <c r="D26" s="765"/>
      <c r="E26" s="766"/>
      <c r="F26" s="549" t="s">
        <v>376</v>
      </c>
      <c r="G26" s="550"/>
      <c r="H26" s="764" t="s">
        <v>54</v>
      </c>
      <c r="I26" s="766"/>
      <c r="J26" s="764" t="s">
        <v>54</v>
      </c>
      <c r="K26" s="766"/>
      <c r="L26" s="528"/>
    </row>
    <row r="27" spans="1:12" ht="12.75">
      <c r="A27" s="512"/>
      <c r="B27" s="509"/>
      <c r="C27" s="758"/>
      <c r="D27" s="759"/>
      <c r="E27" s="760"/>
      <c r="F27" s="552"/>
      <c r="G27" s="553"/>
      <c r="H27" s="758" t="s">
        <v>56</v>
      </c>
      <c r="I27" s="760"/>
      <c r="J27" s="758" t="s">
        <v>55</v>
      </c>
      <c r="K27" s="760"/>
      <c r="L27" s="528"/>
    </row>
    <row r="28" spans="1:12" ht="15" customHeight="1">
      <c r="A28" s="512"/>
      <c r="B28" s="548">
        <v>1</v>
      </c>
      <c r="C28" s="764" t="s">
        <v>701</v>
      </c>
      <c r="D28" s="765"/>
      <c r="E28" s="766"/>
      <c r="F28" s="554" t="s">
        <v>663</v>
      </c>
      <c r="G28" s="555"/>
      <c r="H28" s="819" t="s">
        <v>705</v>
      </c>
      <c r="I28" s="820"/>
      <c r="J28" s="819">
        <v>1737</v>
      </c>
      <c r="K28" s="820"/>
      <c r="L28" s="528"/>
    </row>
    <row r="29" spans="1:12" ht="15" customHeight="1">
      <c r="A29" s="512"/>
      <c r="B29" s="506">
        <f>+B28+1</f>
        <v>2</v>
      </c>
      <c r="C29" s="755" t="s">
        <v>702</v>
      </c>
      <c r="D29" s="756"/>
      <c r="E29" s="757"/>
      <c r="F29" s="556" t="s">
        <v>663</v>
      </c>
      <c r="G29" s="557"/>
      <c r="H29" s="827">
        <v>1566</v>
      </c>
      <c r="I29" s="828"/>
      <c r="J29" s="827">
        <v>1695</v>
      </c>
      <c r="K29" s="828"/>
      <c r="L29" s="528"/>
    </row>
    <row r="30" spans="1:12" ht="15" customHeight="1">
      <c r="A30" s="512"/>
      <c r="B30" s="506">
        <f>+B29+1</f>
        <v>3</v>
      </c>
      <c r="C30" s="755" t="s">
        <v>703</v>
      </c>
      <c r="D30" s="756"/>
      <c r="E30" s="757"/>
      <c r="F30" s="556" t="s">
        <v>692</v>
      </c>
      <c r="G30" s="558"/>
      <c r="H30" s="808">
        <v>2.661</v>
      </c>
      <c r="I30" s="809"/>
      <c r="J30" s="808">
        <v>2.775</v>
      </c>
      <c r="K30" s="809"/>
      <c r="L30" s="528"/>
    </row>
    <row r="31" spans="1:12" ht="15" customHeight="1">
      <c r="A31" s="512"/>
      <c r="B31" s="506">
        <f>+B30+1</f>
        <v>4</v>
      </c>
      <c r="C31" s="755" t="s">
        <v>378</v>
      </c>
      <c r="D31" s="756"/>
      <c r="E31" s="757"/>
      <c r="F31" s="556" t="s">
        <v>377</v>
      </c>
      <c r="G31" s="558"/>
      <c r="H31" s="808">
        <v>4.35</v>
      </c>
      <c r="I31" s="809"/>
      <c r="J31" s="808">
        <v>0.76</v>
      </c>
      <c r="K31" s="809"/>
      <c r="L31" s="528"/>
    </row>
    <row r="32" spans="1:12" ht="15" customHeight="1">
      <c r="A32" s="512"/>
      <c r="B32" s="506">
        <f>+B31+1</f>
        <v>5</v>
      </c>
      <c r="C32" s="755" t="s">
        <v>379</v>
      </c>
      <c r="D32" s="756"/>
      <c r="E32" s="757"/>
      <c r="F32" s="556" t="s">
        <v>377</v>
      </c>
      <c r="G32" s="558"/>
      <c r="H32" s="808">
        <v>1.17</v>
      </c>
      <c r="I32" s="809"/>
      <c r="J32" s="808">
        <v>0.8</v>
      </c>
      <c r="K32" s="809"/>
      <c r="L32" s="528"/>
    </row>
    <row r="33" spans="1:12" ht="15" customHeight="1">
      <c r="A33" s="512"/>
      <c r="B33" s="509">
        <f>+B32+1</f>
        <v>6</v>
      </c>
      <c r="C33" s="758" t="s">
        <v>57</v>
      </c>
      <c r="D33" s="759"/>
      <c r="E33" s="760"/>
      <c r="F33" s="559" t="s">
        <v>704</v>
      </c>
      <c r="G33" s="560"/>
      <c r="H33" s="770">
        <v>2.8</v>
      </c>
      <c r="I33" s="771"/>
      <c r="J33" s="772" t="s">
        <v>700</v>
      </c>
      <c r="K33" s="773"/>
      <c r="L33" s="528"/>
    </row>
    <row r="34" spans="1:12" ht="12.75">
      <c r="A34" s="528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</row>
    <row r="35" spans="1:12" ht="12.75">
      <c r="A35" s="526">
        <v>3</v>
      </c>
      <c r="B35" s="535" t="s">
        <v>413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</row>
    <row r="36" spans="1:12" ht="12.75">
      <c r="A36" s="528"/>
      <c r="B36" s="528"/>
      <c r="C36" s="528"/>
      <c r="D36" s="528"/>
      <c r="E36" s="528"/>
      <c r="F36" s="528"/>
      <c r="G36" s="528"/>
      <c r="H36" s="528"/>
      <c r="I36" s="528"/>
      <c r="J36" s="528"/>
      <c r="K36" s="526" t="s">
        <v>476</v>
      </c>
      <c r="L36" s="528"/>
    </row>
    <row r="37" spans="1:12" ht="12.75">
      <c r="A37" s="528"/>
      <c r="B37" s="516"/>
      <c r="C37" s="528"/>
      <c r="D37" s="528"/>
      <c r="E37" s="528"/>
      <c r="F37" s="528"/>
      <c r="G37" s="516"/>
      <c r="H37" s="516"/>
      <c r="I37" s="516"/>
      <c r="J37" s="528"/>
      <c r="K37" s="526" t="s">
        <v>113</v>
      </c>
      <c r="L37" s="528"/>
    </row>
    <row r="38" spans="1:12" ht="24.75" customHeight="1">
      <c r="A38" s="528"/>
      <c r="B38" s="526"/>
      <c r="C38" s="811"/>
      <c r="D38" s="812"/>
      <c r="E38" s="812"/>
      <c r="F38" s="812"/>
      <c r="G38" s="812"/>
      <c r="H38" s="812"/>
      <c r="I38" s="812"/>
      <c r="J38" s="813"/>
      <c r="K38" s="561" t="str">
        <f>VLOOKUP('tablas '!P95,TRABAJABILIDAD,3)</f>
        <v>3"  a  4" </v>
      </c>
      <c r="L38" s="528"/>
    </row>
    <row r="39" spans="1:12" ht="12.75">
      <c r="A39" s="528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</row>
    <row r="40" spans="1:12" ht="12.75">
      <c r="A40" s="526">
        <v>4</v>
      </c>
      <c r="B40" s="535" t="s">
        <v>492</v>
      </c>
      <c r="C40" s="528"/>
      <c r="D40" s="528"/>
      <c r="E40" s="528"/>
      <c r="F40" s="528"/>
      <c r="G40" s="516"/>
      <c r="H40" s="528"/>
      <c r="I40" s="528"/>
      <c r="J40" s="528"/>
      <c r="K40" s="528"/>
      <c r="L40" s="528"/>
    </row>
    <row r="41" spans="1:12" ht="12.75">
      <c r="A41" s="528"/>
      <c r="B41" s="528"/>
      <c r="C41" s="528"/>
      <c r="D41" s="528"/>
      <c r="E41" s="528"/>
      <c r="F41" s="528"/>
      <c r="G41" s="528"/>
      <c r="H41" s="798" t="s">
        <v>406</v>
      </c>
      <c r="I41" s="798"/>
      <c r="J41" s="798"/>
      <c r="K41" s="537" t="s">
        <v>407</v>
      </c>
      <c r="L41" s="528"/>
    </row>
    <row r="42" spans="1:12" ht="12.75">
      <c r="A42" s="528"/>
      <c r="B42" s="528"/>
      <c r="C42" s="528"/>
      <c r="D42" s="528"/>
      <c r="E42" s="528"/>
      <c r="F42" s="528"/>
      <c r="G42" s="528"/>
      <c r="H42" s="801" t="str">
        <f>+'tablas '!Q128</f>
        <v>DE OBRA</v>
      </c>
      <c r="I42" s="801"/>
      <c r="J42" s="801"/>
      <c r="K42" s="537" t="str">
        <f>+'tablas '!P128</f>
        <v>ATRAPADO</v>
      </c>
      <c r="L42" s="528"/>
    </row>
    <row r="43" spans="1:12" ht="24.75" customHeight="1">
      <c r="A43" s="528"/>
      <c r="B43" s="526"/>
      <c r="C43" s="814"/>
      <c r="D43" s="815"/>
      <c r="E43" s="815"/>
      <c r="F43" s="815"/>
      <c r="G43" s="815"/>
      <c r="H43" s="815"/>
      <c r="I43" s="815"/>
      <c r="J43" s="816"/>
      <c r="K43" s="562">
        <f>+'tablas '!P129</f>
        <v>0.025</v>
      </c>
      <c r="L43" s="528"/>
    </row>
    <row r="44" spans="1:12" ht="12.75">
      <c r="A44" s="528"/>
      <c r="B44" s="528"/>
      <c r="C44" s="563"/>
      <c r="D44" s="563"/>
      <c r="E44" s="563"/>
      <c r="F44" s="563"/>
      <c r="G44" s="563"/>
      <c r="H44" s="563"/>
      <c r="I44" s="563"/>
      <c r="J44" s="563"/>
      <c r="K44" s="563"/>
      <c r="L44" s="528"/>
    </row>
    <row r="45" spans="1:12" ht="12.75" customHeight="1">
      <c r="A45" s="528"/>
      <c r="B45" s="528"/>
      <c r="C45" s="563"/>
      <c r="D45" s="564" t="s">
        <v>669</v>
      </c>
      <c r="E45" s="563"/>
      <c r="F45" s="563"/>
      <c r="G45" s="564" t="s">
        <v>230</v>
      </c>
      <c r="H45" s="563"/>
      <c r="I45" s="563"/>
      <c r="J45" s="563"/>
      <c r="K45" s="563"/>
      <c r="L45" s="528"/>
    </row>
    <row r="46" spans="1:12" ht="27" customHeight="1">
      <c r="A46" s="528"/>
      <c r="B46" s="814"/>
      <c r="C46" s="815"/>
      <c r="D46" s="815"/>
      <c r="E46" s="815"/>
      <c r="F46" s="815"/>
      <c r="G46" s="815"/>
      <c r="H46" s="815"/>
      <c r="I46" s="815"/>
      <c r="J46" s="815"/>
      <c r="K46" s="816"/>
      <c r="L46" s="528"/>
    </row>
    <row r="47" spans="1:12" ht="12.75">
      <c r="A47" s="528"/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</row>
    <row r="48" spans="1:12" ht="12.75">
      <c r="A48" s="526">
        <v>5</v>
      </c>
      <c r="B48" s="535" t="s">
        <v>670</v>
      </c>
      <c r="C48" s="516"/>
      <c r="D48" s="516"/>
      <c r="E48" s="516"/>
      <c r="F48" s="516"/>
      <c r="G48" s="516"/>
      <c r="H48" s="516" t="s">
        <v>708</v>
      </c>
      <c r="I48" s="516"/>
      <c r="J48" s="516"/>
      <c r="K48" s="516" t="s">
        <v>709</v>
      </c>
      <c r="L48" s="528"/>
    </row>
    <row r="49" spans="1:12" ht="12.75">
      <c r="A49" s="528"/>
      <c r="B49" s="528"/>
      <c r="C49" s="565" t="s">
        <v>672</v>
      </c>
      <c r="D49" s="516"/>
      <c r="E49" s="516"/>
      <c r="F49" s="516" t="s">
        <v>678</v>
      </c>
      <c r="G49" s="516"/>
      <c r="H49" s="516" t="s">
        <v>673</v>
      </c>
      <c r="I49" s="516"/>
      <c r="J49" s="516"/>
      <c r="K49" s="516" t="s">
        <v>460</v>
      </c>
      <c r="L49" s="528"/>
    </row>
    <row r="50" spans="1:12" ht="21.75" customHeight="1">
      <c r="A50" s="528"/>
      <c r="B50" s="528"/>
      <c r="C50" s="528"/>
      <c r="D50" s="528"/>
      <c r="E50" s="528"/>
      <c r="F50" s="528"/>
      <c r="G50" s="528"/>
      <c r="H50" s="528"/>
      <c r="I50" s="528"/>
      <c r="J50" s="528"/>
      <c r="K50" s="648">
        <f>I92</f>
        <v>3.9048</v>
      </c>
      <c r="L50" s="528"/>
    </row>
    <row r="51" spans="1:12" ht="12.75">
      <c r="A51" s="528"/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</row>
    <row r="52" spans="1:12" ht="12.75">
      <c r="A52" s="526">
        <v>6</v>
      </c>
      <c r="B52" s="535" t="s">
        <v>405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</row>
    <row r="53" spans="1:12" ht="12.75">
      <c r="A53" s="528"/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</row>
    <row r="54" spans="1:12" ht="12.75">
      <c r="A54" s="528"/>
      <c r="B54" s="528"/>
      <c r="C54" s="566"/>
      <c r="D54" s="567"/>
      <c r="E54" s="796" t="s">
        <v>727</v>
      </c>
      <c r="F54" s="797"/>
      <c r="G54" s="796" t="s">
        <v>727</v>
      </c>
      <c r="H54" s="797"/>
      <c r="I54" s="796" t="s">
        <v>711</v>
      </c>
      <c r="J54" s="802"/>
      <c r="K54" s="797"/>
      <c r="L54" s="528"/>
    </row>
    <row r="55" spans="1:12" ht="12.75">
      <c r="A55" s="528"/>
      <c r="B55" s="528"/>
      <c r="C55" s="778" t="s">
        <v>427</v>
      </c>
      <c r="D55" s="779"/>
      <c r="E55" s="782" t="s">
        <v>447</v>
      </c>
      <c r="F55" s="783"/>
      <c r="G55" s="782" t="s">
        <v>447</v>
      </c>
      <c r="H55" s="783"/>
      <c r="I55" s="782" t="s">
        <v>447</v>
      </c>
      <c r="J55" s="810"/>
      <c r="K55" s="783"/>
      <c r="L55" s="528"/>
    </row>
    <row r="56" spans="1:12" ht="12.75">
      <c r="A56" s="528"/>
      <c r="B56" s="528"/>
      <c r="C56" s="569" t="s">
        <v>467</v>
      </c>
      <c r="D56" s="570"/>
      <c r="E56" s="799" t="s">
        <v>488</v>
      </c>
      <c r="F56" s="800"/>
      <c r="G56" s="799" t="s">
        <v>489</v>
      </c>
      <c r="H56" s="800"/>
      <c r="I56" s="799" t="s">
        <v>448</v>
      </c>
      <c r="J56" s="801"/>
      <c r="K56" s="800"/>
      <c r="L56" s="528"/>
    </row>
    <row r="57" spans="1:12" ht="12.75">
      <c r="A57" s="528"/>
      <c r="B57" s="528"/>
      <c r="C57" s="774">
        <f>+'tablas '!M111</f>
        <v>216</v>
      </c>
      <c r="D57" s="570"/>
      <c r="E57" s="571"/>
      <c r="F57" s="568"/>
      <c r="G57" s="572"/>
      <c r="H57" s="568"/>
      <c r="I57" s="803">
        <f>MIN(E58,G58)</f>
        <v>0.6637389429493212</v>
      </c>
      <c r="J57" s="804"/>
      <c r="K57" s="805"/>
      <c r="L57" s="528"/>
    </row>
    <row r="58" spans="1:12" ht="12.75">
      <c r="A58" s="528"/>
      <c r="B58" s="528"/>
      <c r="C58" s="775"/>
      <c r="D58" s="573"/>
      <c r="E58" s="780">
        <f>+'tablas '!$J$154</f>
        <v>0.6637389429493212</v>
      </c>
      <c r="F58" s="781"/>
      <c r="G58" s="780" t="str">
        <f>+'tablas '!K195</f>
        <v>solo casos severos</v>
      </c>
      <c r="H58" s="807"/>
      <c r="I58" s="780"/>
      <c r="J58" s="806"/>
      <c r="K58" s="807"/>
      <c r="L58" s="528"/>
    </row>
    <row r="59" spans="1:12" ht="12.75">
      <c r="A59" s="528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</row>
    <row r="60" spans="1:12" ht="12.75">
      <c r="A60" s="526">
        <v>7</v>
      </c>
      <c r="B60" s="535" t="s">
        <v>449</v>
      </c>
      <c r="C60" s="528"/>
      <c r="D60" s="528"/>
      <c r="E60" s="528"/>
      <c r="F60" s="528"/>
      <c r="G60" s="528"/>
      <c r="H60" s="528"/>
      <c r="I60" s="528"/>
      <c r="J60" s="528"/>
      <c r="K60" s="528"/>
      <c r="L60" s="528"/>
    </row>
    <row r="61" spans="1:12" ht="12.75">
      <c r="A61" s="528"/>
      <c r="B61" s="528"/>
      <c r="C61" s="528"/>
      <c r="D61" s="528"/>
      <c r="E61" s="767" t="s">
        <v>450</v>
      </c>
      <c r="F61" s="768"/>
      <c r="G61" s="528"/>
      <c r="H61" s="767" t="s">
        <v>450</v>
      </c>
      <c r="I61" s="769"/>
      <c r="J61" s="768"/>
      <c r="K61" s="528"/>
      <c r="L61" s="528"/>
    </row>
    <row r="62" spans="1:12" ht="12.75">
      <c r="A62" s="528"/>
      <c r="B62" s="528"/>
      <c r="C62" s="528"/>
      <c r="D62" s="528"/>
      <c r="E62" s="786" t="s">
        <v>451</v>
      </c>
      <c r="F62" s="787"/>
      <c r="G62" s="563"/>
      <c r="H62" s="786" t="s">
        <v>496</v>
      </c>
      <c r="I62" s="829"/>
      <c r="J62" s="787"/>
      <c r="K62" s="528"/>
      <c r="L62" s="528"/>
    </row>
    <row r="63" spans="1:12" ht="15.75">
      <c r="A63" s="528"/>
      <c r="B63" s="528"/>
      <c r="C63" s="528"/>
      <c r="D63" s="528"/>
      <c r="E63" s="788">
        <f>+ROUND(C57/I57,1)</f>
        <v>325.4</v>
      </c>
      <c r="F63" s="789"/>
      <c r="G63" s="519" t="s">
        <v>347</v>
      </c>
      <c r="H63" s="788">
        <f>+ROUND(E63/42.5,1)</f>
        <v>7.7</v>
      </c>
      <c r="I63" s="830"/>
      <c r="J63" s="789"/>
      <c r="K63" s="528"/>
      <c r="L63" s="528"/>
    </row>
    <row r="64" spans="1:12" ht="15.75">
      <c r="A64" s="528"/>
      <c r="B64" s="528"/>
      <c r="C64" s="528"/>
      <c r="D64" s="528"/>
      <c r="E64" s="574"/>
      <c r="F64" s="574"/>
      <c r="G64" s="519"/>
      <c r="H64" s="574"/>
      <c r="I64" s="574"/>
      <c r="J64" s="574"/>
      <c r="K64" s="528"/>
      <c r="L64" s="528"/>
    </row>
    <row r="65" spans="1:12" ht="12.75">
      <c r="A65" s="528"/>
      <c r="B65" s="512"/>
      <c r="C65" s="512"/>
      <c r="D65" s="512"/>
      <c r="E65" s="512"/>
      <c r="F65" s="512"/>
      <c r="G65" s="512"/>
      <c r="H65" s="574"/>
      <c r="I65" s="574"/>
      <c r="J65" s="574"/>
      <c r="K65" s="528"/>
      <c r="L65" s="528"/>
    </row>
    <row r="66" spans="1:12" ht="15.75">
      <c r="A66" s="575">
        <v>8.1</v>
      </c>
      <c r="B66" s="535" t="s">
        <v>592</v>
      </c>
      <c r="C66" s="528"/>
      <c r="D66" s="528"/>
      <c r="E66" s="574"/>
      <c r="F66" s="574"/>
      <c r="G66" s="519"/>
      <c r="H66" s="574"/>
      <c r="I66" s="574"/>
      <c r="J66" s="574"/>
      <c r="K66" s="528"/>
      <c r="L66" s="528"/>
    </row>
    <row r="67" spans="1:12" ht="12.75">
      <c r="A67" s="528"/>
      <c r="B67" s="528"/>
      <c r="C67" s="528"/>
      <c r="D67" s="528"/>
      <c r="E67" s="574"/>
      <c r="F67" s="574"/>
      <c r="G67" s="526"/>
      <c r="H67" s="574"/>
      <c r="I67" s="574"/>
      <c r="J67" s="574"/>
      <c r="K67" s="528"/>
      <c r="L67" s="528"/>
    </row>
    <row r="68" spans="1:12" ht="12.75">
      <c r="A68" s="528"/>
      <c r="B68" s="764" t="s">
        <v>463</v>
      </c>
      <c r="C68" s="765"/>
      <c r="D68" s="766"/>
      <c r="E68" s="579" t="s">
        <v>462</v>
      </c>
      <c r="F68" s="580" t="s">
        <v>53</v>
      </c>
      <c r="G68" s="784" t="s">
        <v>375</v>
      </c>
      <c r="H68" s="785"/>
      <c r="I68" s="622" t="s">
        <v>710</v>
      </c>
      <c r="J68" s="580" t="s">
        <v>424</v>
      </c>
      <c r="K68" s="580" t="s">
        <v>456</v>
      </c>
      <c r="L68" s="587" t="s">
        <v>460</v>
      </c>
    </row>
    <row r="69" spans="1:12" ht="12.75">
      <c r="A69" s="528"/>
      <c r="B69" s="758"/>
      <c r="C69" s="759"/>
      <c r="D69" s="760"/>
      <c r="E69" s="581"/>
      <c r="F69" s="582"/>
      <c r="G69" s="583" t="s">
        <v>73</v>
      </c>
      <c r="H69" s="584" t="s">
        <v>452</v>
      </c>
      <c r="I69" s="546" t="s">
        <v>693</v>
      </c>
      <c r="J69" s="582" t="s">
        <v>465</v>
      </c>
      <c r="K69" s="585" t="str">
        <f>+$K$42</f>
        <v>ATRAPADO</v>
      </c>
      <c r="L69" s="586" t="s">
        <v>461</v>
      </c>
    </row>
    <row r="70" spans="1:12" ht="12.75">
      <c r="A70" s="528"/>
      <c r="B70" s="576" t="s">
        <v>464</v>
      </c>
      <c r="C70" s="577"/>
      <c r="D70" s="578"/>
      <c r="E70" s="579" t="s">
        <v>453</v>
      </c>
      <c r="F70" s="579"/>
      <c r="G70" s="550">
        <f>+'tablas '!L251</f>
        <v>0.55</v>
      </c>
      <c r="H70" s="587"/>
      <c r="I70" s="587"/>
      <c r="J70" s="579"/>
      <c r="K70" s="579"/>
      <c r="L70" s="551"/>
    </row>
    <row r="71" spans="1:12" ht="12.75">
      <c r="A71" s="528"/>
      <c r="B71" s="588" t="s">
        <v>454</v>
      </c>
      <c r="C71" s="536"/>
      <c r="D71" s="589"/>
      <c r="E71" s="590" t="s">
        <v>451</v>
      </c>
      <c r="F71" s="591">
        <f>+E63</f>
        <v>325.4</v>
      </c>
      <c r="G71" s="592">
        <f>+G70*J28</f>
        <v>955.35</v>
      </c>
      <c r="H71" s="591">
        <f>+H72*H30*1000</f>
        <v>825.1747818719041</v>
      </c>
      <c r="I71" s="591">
        <f>I93*I84</f>
        <v>3.9048</v>
      </c>
      <c r="J71" s="591">
        <f>+C57</f>
        <v>216</v>
      </c>
      <c r="K71" s="593">
        <v>0</v>
      </c>
      <c r="L71" s="592">
        <f>SUM(F71:K71)</f>
        <v>2325.829581871904</v>
      </c>
    </row>
    <row r="72" spans="1:12" ht="12.75">
      <c r="A72" s="528"/>
      <c r="B72" s="594" t="s">
        <v>455</v>
      </c>
      <c r="C72" s="595"/>
      <c r="D72" s="596"/>
      <c r="E72" s="582" t="s">
        <v>453</v>
      </c>
      <c r="F72" s="597">
        <f>+E63/(H18*1000)</f>
        <v>0.10463022508038584</v>
      </c>
      <c r="G72" s="597">
        <f>+G71/(J30*1000)</f>
        <v>0.3442702702702703</v>
      </c>
      <c r="H72" s="597">
        <f>1-(F72+G72+J72+K72)</f>
        <v>0.3100995046493439</v>
      </c>
      <c r="I72" s="597">
        <f>F92*K83/1000000</f>
        <v>0.003281344537815126</v>
      </c>
      <c r="J72" s="597">
        <f>+C57/1000</f>
        <v>0.216</v>
      </c>
      <c r="K72" s="597">
        <f>+K43</f>
        <v>0.025</v>
      </c>
      <c r="L72" s="582">
        <f>SUM(F72:K72)</f>
        <v>1.003281344537815</v>
      </c>
    </row>
    <row r="73" spans="1:12" ht="12.75">
      <c r="A73" s="528"/>
      <c r="B73" s="598" t="s">
        <v>468</v>
      </c>
      <c r="C73" s="599"/>
      <c r="D73" s="600"/>
      <c r="E73" s="583" t="s">
        <v>471</v>
      </c>
      <c r="F73" s="601">
        <v>1</v>
      </c>
      <c r="G73" s="602">
        <f>+G71/F71</f>
        <v>2.935925015365704</v>
      </c>
      <c r="H73" s="602">
        <f>+H71/F71</f>
        <v>2.535878247916116</v>
      </c>
      <c r="I73" s="602">
        <f>I92/H63</f>
        <v>0.5071168831168831</v>
      </c>
      <c r="J73" s="602">
        <f>+J71/H63</f>
        <v>28.051948051948052</v>
      </c>
      <c r="K73" s="603"/>
      <c r="L73" s="604"/>
    </row>
    <row r="74" spans="1:12" ht="12.75">
      <c r="A74" s="512"/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</row>
    <row r="75" spans="1:12" ht="15.75">
      <c r="A75" s="575">
        <v>8.2</v>
      </c>
      <c r="B75" s="535" t="s">
        <v>699</v>
      </c>
      <c r="C75" s="528"/>
      <c r="D75" s="528"/>
      <c r="E75" s="574"/>
      <c r="F75" s="574"/>
      <c r="G75" s="519"/>
      <c r="H75" s="512"/>
      <c r="I75" s="512"/>
      <c r="J75" s="512"/>
      <c r="K75" s="512"/>
      <c r="L75" s="512"/>
    </row>
    <row r="76" spans="1:12" ht="12.75">
      <c r="A76" s="512"/>
      <c r="B76" s="605"/>
      <c r="C76" s="512"/>
      <c r="D76" s="512"/>
      <c r="E76" s="512"/>
      <c r="F76" s="512"/>
      <c r="G76" s="512"/>
      <c r="H76" s="512"/>
      <c r="I76" s="512"/>
      <c r="J76" s="512"/>
      <c r="K76" s="512"/>
      <c r="L76" s="512"/>
    </row>
    <row r="77" spans="1:12" ht="12.75">
      <c r="A77" s="512"/>
      <c r="B77" s="605" t="s">
        <v>695</v>
      </c>
      <c r="C77" s="512"/>
      <c r="D77" s="512"/>
      <c r="E77" s="606">
        <f>1-(F93+J93+K93)</f>
        <v>0.6543697749196141</v>
      </c>
      <c r="F77" s="512"/>
      <c r="G77" s="512"/>
      <c r="H77" s="512"/>
      <c r="I77" s="512"/>
      <c r="J77" s="512"/>
      <c r="K77" s="512"/>
      <c r="L77" s="512"/>
    </row>
    <row r="78" spans="1:12" ht="12.75">
      <c r="A78" s="512"/>
      <c r="B78" s="605" t="s">
        <v>696</v>
      </c>
      <c r="C78" s="512"/>
      <c r="D78" s="512"/>
      <c r="E78" s="607">
        <f>(G72/E77)*100</f>
        <v>52.61096760047666</v>
      </c>
      <c r="F78" s="790">
        <f>E79+E78</f>
        <v>100</v>
      </c>
      <c r="G78" s="512"/>
      <c r="H78" s="512"/>
      <c r="I78" s="512"/>
      <c r="J78" s="512"/>
      <c r="K78" s="512"/>
      <c r="L78" s="512"/>
    </row>
    <row r="79" spans="1:12" ht="12.75">
      <c r="A79" s="512"/>
      <c r="B79" s="605" t="s">
        <v>697</v>
      </c>
      <c r="C79" s="512"/>
      <c r="D79" s="512"/>
      <c r="E79" s="607">
        <f>(H72/E77)*100</f>
        <v>47.38903239952334</v>
      </c>
      <c r="F79" s="791"/>
      <c r="G79" s="512"/>
      <c r="H79" s="512"/>
      <c r="I79" s="512"/>
      <c r="J79" s="512"/>
      <c r="K79" s="512"/>
      <c r="L79" s="512"/>
    </row>
    <row r="80" spans="1:12" ht="12.75">
      <c r="A80" s="512"/>
      <c r="B80" s="605"/>
      <c r="C80" s="512"/>
      <c r="D80" s="512"/>
      <c r="E80" s="605"/>
      <c r="F80" s="512"/>
      <c r="G80" s="512"/>
      <c r="H80" s="512"/>
      <c r="I80" s="512"/>
      <c r="J80" s="512"/>
      <c r="K80" s="512"/>
      <c r="L80" s="512"/>
    </row>
    <row r="81" spans="1:12" ht="12.75">
      <c r="A81" s="512"/>
      <c r="B81" s="535" t="s">
        <v>728</v>
      </c>
      <c r="C81" s="512"/>
      <c r="D81" s="512"/>
      <c r="E81" s="605"/>
      <c r="F81" s="512"/>
      <c r="G81" s="512"/>
      <c r="H81" s="512"/>
      <c r="I81" s="512"/>
      <c r="J81" s="512"/>
      <c r="K81" s="512"/>
      <c r="L81" s="512"/>
    </row>
    <row r="82" spans="1:12" ht="12.75">
      <c r="A82" s="512"/>
      <c r="B82" s="605"/>
      <c r="C82" s="512"/>
      <c r="D82" s="512"/>
      <c r="E82" s="605"/>
      <c r="F82" s="512"/>
      <c r="G82" s="512"/>
      <c r="H82" s="512"/>
      <c r="I82" s="512"/>
      <c r="J82" s="512"/>
      <c r="K82" s="512"/>
      <c r="L82" s="512"/>
    </row>
    <row r="83" spans="1:12" ht="12.75">
      <c r="A83" s="512"/>
      <c r="B83" s="605" t="s">
        <v>695</v>
      </c>
      <c r="C83" s="512"/>
      <c r="D83" s="512"/>
      <c r="E83" s="513">
        <f>1-(F93+J93+K93)</f>
        <v>0.6543697749196141</v>
      </c>
      <c r="F83" s="512"/>
      <c r="G83" s="794" t="s">
        <v>716</v>
      </c>
      <c r="H83" s="507" t="s">
        <v>717</v>
      </c>
      <c r="I83" s="507">
        <f>K83*I84/10000</f>
        <v>1.2</v>
      </c>
      <c r="J83" s="638" t="s">
        <v>718</v>
      </c>
      <c r="K83" s="637">
        <f>VLOOKUP('tablas '!L243,'tablas '!L230:O242,4)</f>
        <v>10.084033613445378</v>
      </c>
      <c r="L83" s="640" t="s">
        <v>719</v>
      </c>
    </row>
    <row r="84" spans="1:12" ht="12.75">
      <c r="A84" s="512"/>
      <c r="B84" s="605" t="s">
        <v>696</v>
      </c>
      <c r="C84" s="512"/>
      <c r="D84" s="512"/>
      <c r="E84" s="514">
        <f>VLOOKUP('tablas '!K351,'tablas '!G351:J420,4)</f>
        <v>54.5</v>
      </c>
      <c r="F84" s="512"/>
      <c r="G84" s="795"/>
      <c r="H84" s="639" t="s">
        <v>720</v>
      </c>
      <c r="I84" s="507">
        <v>1190</v>
      </c>
      <c r="J84" s="507"/>
      <c r="K84" s="512"/>
      <c r="L84" s="512"/>
    </row>
    <row r="85" spans="1:12" ht="12.75">
      <c r="A85" s="512"/>
      <c r="B85" s="605" t="s">
        <v>697</v>
      </c>
      <c r="C85" s="512"/>
      <c r="D85" s="512"/>
      <c r="E85" s="515">
        <f>100-E84</f>
        <v>45.5</v>
      </c>
      <c r="F85" s="512"/>
      <c r="G85" s="512"/>
      <c r="H85" s="512"/>
      <c r="I85" s="512"/>
      <c r="J85" s="512"/>
      <c r="K85" s="512"/>
      <c r="L85" s="512"/>
    </row>
    <row r="86" spans="1:12" ht="12.75">
      <c r="A86" s="512"/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</row>
    <row r="87" spans="1:12" ht="12.75">
      <c r="A87" s="512"/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</row>
    <row r="88" spans="1:12" ht="15.75">
      <c r="A88" s="526">
        <v>8.3</v>
      </c>
      <c r="B88" s="535" t="s">
        <v>698</v>
      </c>
      <c r="C88" s="528"/>
      <c r="D88" s="528"/>
      <c r="E88" s="574"/>
      <c r="F88" s="574"/>
      <c r="G88" s="519"/>
      <c r="H88" s="574"/>
      <c r="I88" s="574"/>
      <c r="J88" s="574"/>
      <c r="K88" s="528"/>
      <c r="L88" s="528"/>
    </row>
    <row r="89" spans="1:12" ht="12.75">
      <c r="A89" s="528"/>
      <c r="B89" s="528"/>
      <c r="C89" s="528"/>
      <c r="D89" s="528"/>
      <c r="E89" s="574"/>
      <c r="F89" s="574"/>
      <c r="G89" s="526"/>
      <c r="H89" s="574"/>
      <c r="I89" s="574"/>
      <c r="J89" s="574"/>
      <c r="K89" s="528"/>
      <c r="L89" s="528"/>
    </row>
    <row r="90" spans="1:12" ht="12.75">
      <c r="A90" s="528"/>
      <c r="B90" s="764" t="s">
        <v>463</v>
      </c>
      <c r="C90" s="765"/>
      <c r="D90" s="766"/>
      <c r="E90" s="579" t="s">
        <v>462</v>
      </c>
      <c r="F90" s="580" t="s">
        <v>53</v>
      </c>
      <c r="G90" s="784" t="s">
        <v>375</v>
      </c>
      <c r="H90" s="785"/>
      <c r="I90" s="622" t="s">
        <v>710</v>
      </c>
      <c r="J90" s="580" t="s">
        <v>424</v>
      </c>
      <c r="K90" s="580" t="s">
        <v>456</v>
      </c>
      <c r="L90" s="587" t="s">
        <v>460</v>
      </c>
    </row>
    <row r="91" spans="1:12" ht="12.75">
      <c r="A91" s="528"/>
      <c r="B91" s="758"/>
      <c r="C91" s="759"/>
      <c r="D91" s="760"/>
      <c r="E91" s="581"/>
      <c r="F91" s="582"/>
      <c r="G91" s="583" t="s">
        <v>73</v>
      </c>
      <c r="H91" s="584" t="s">
        <v>452</v>
      </c>
      <c r="I91" s="546" t="s">
        <v>693</v>
      </c>
      <c r="J91" s="582" t="s">
        <v>465</v>
      </c>
      <c r="K91" s="585" t="str">
        <f>+$K$42</f>
        <v>ATRAPADO</v>
      </c>
      <c r="L91" s="586" t="s">
        <v>461</v>
      </c>
    </row>
    <row r="92" spans="1:12" ht="12.75">
      <c r="A92" s="528"/>
      <c r="B92" s="588" t="s">
        <v>454</v>
      </c>
      <c r="C92" s="536"/>
      <c r="D92" s="589"/>
      <c r="E92" s="590" t="s">
        <v>451</v>
      </c>
      <c r="F92" s="591">
        <f>+E63</f>
        <v>325.4</v>
      </c>
      <c r="G92" s="592">
        <f>(G93*J30)*1000</f>
        <v>989.6524883440514</v>
      </c>
      <c r="H92" s="591">
        <f>+H93*H30*1000</f>
        <v>792.2814768327976</v>
      </c>
      <c r="I92" s="591">
        <f>I93*I84</f>
        <v>3.9048</v>
      </c>
      <c r="J92" s="591">
        <f>+C57</f>
        <v>216</v>
      </c>
      <c r="K92" s="593">
        <v>0.25</v>
      </c>
      <c r="L92" s="592">
        <f>SUM(F92:K92)</f>
        <v>2327.488765176849</v>
      </c>
    </row>
    <row r="93" spans="1:12" ht="12.75">
      <c r="A93" s="528"/>
      <c r="B93" s="594" t="s">
        <v>455</v>
      </c>
      <c r="C93" s="595"/>
      <c r="D93" s="596"/>
      <c r="E93" s="582" t="s">
        <v>453</v>
      </c>
      <c r="F93" s="597">
        <f>+E63/(H18*1000)</f>
        <v>0.10463022508038584</v>
      </c>
      <c r="G93" s="597">
        <f>E83*E84/100</f>
        <v>0.3566315273311897</v>
      </c>
      <c r="H93" s="597">
        <f>1-(F93+G93+J93+K93)</f>
        <v>0.2977382475884245</v>
      </c>
      <c r="I93" s="647">
        <f>F92*K83/1000000</f>
        <v>0.003281344537815126</v>
      </c>
      <c r="J93" s="597">
        <f>+C57/1000</f>
        <v>0.216</v>
      </c>
      <c r="K93" s="597">
        <f>+K43</f>
        <v>0.025</v>
      </c>
      <c r="L93" s="582">
        <f>SUM(F93:K93)</f>
        <v>1.003281344537815</v>
      </c>
    </row>
    <row r="94" spans="1:12" ht="12.75">
      <c r="A94" s="528"/>
      <c r="B94" s="598" t="s">
        <v>468</v>
      </c>
      <c r="C94" s="599"/>
      <c r="D94" s="600"/>
      <c r="E94" s="583" t="s">
        <v>471</v>
      </c>
      <c r="F94" s="601">
        <v>1</v>
      </c>
      <c r="G94" s="602">
        <f>+G92/F92</f>
        <v>3.0413413901169375</v>
      </c>
      <c r="H94" s="602">
        <f>+H92/F92</f>
        <v>2.4347924918033117</v>
      </c>
      <c r="I94" s="583">
        <f>I92/H63</f>
        <v>0.5071168831168831</v>
      </c>
      <c r="J94" s="602">
        <f>+J92/H63</f>
        <v>28.051948051948052</v>
      </c>
      <c r="K94" s="603"/>
      <c r="L94" s="604"/>
    </row>
    <row r="95" spans="1:12" ht="12.75">
      <c r="A95" s="512"/>
      <c r="B95" s="512"/>
      <c r="C95" s="512"/>
      <c r="D95" s="512"/>
      <c r="E95" s="512"/>
      <c r="F95" s="512"/>
      <c r="G95" s="512"/>
      <c r="H95" s="512"/>
      <c r="I95" s="652" t="s">
        <v>734</v>
      </c>
      <c r="J95" s="653">
        <f>J92/F92</f>
        <v>0.6637984019668102</v>
      </c>
      <c r="K95" s="512"/>
      <c r="L95" s="512"/>
    </row>
    <row r="96" spans="1:12" ht="12.75">
      <c r="A96" s="512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</row>
    <row r="97" spans="1:12" ht="12.75">
      <c r="A97" s="537">
        <v>9</v>
      </c>
      <c r="B97" s="535" t="s">
        <v>729</v>
      </c>
      <c r="C97" s="528"/>
      <c r="D97" s="528"/>
      <c r="E97" s="574"/>
      <c r="F97" s="574"/>
      <c r="G97" s="608"/>
      <c r="H97" s="574"/>
      <c r="I97" s="574"/>
      <c r="J97" s="574"/>
      <c r="K97" s="609"/>
      <c r="L97" s="609"/>
    </row>
    <row r="98" spans="1:12" ht="12.75">
      <c r="A98" s="528"/>
      <c r="B98" s="528"/>
      <c r="C98" s="528"/>
      <c r="D98" s="528"/>
      <c r="E98" s="574"/>
      <c r="F98" s="574"/>
      <c r="G98" s="526"/>
      <c r="H98" s="574"/>
      <c r="I98" s="574"/>
      <c r="J98" s="574"/>
      <c r="K98" s="528"/>
      <c r="L98" s="528"/>
    </row>
    <row r="99" spans="1:12" ht="12.75">
      <c r="A99" s="528"/>
      <c r="B99" s="764" t="s">
        <v>463</v>
      </c>
      <c r="C99" s="765"/>
      <c r="D99" s="766"/>
      <c r="E99" s="579" t="s">
        <v>462</v>
      </c>
      <c r="F99" s="610" t="s">
        <v>53</v>
      </c>
      <c r="G99" s="792" t="s">
        <v>375</v>
      </c>
      <c r="H99" s="793"/>
      <c r="I99" s="623" t="s">
        <v>710</v>
      </c>
      <c r="J99" s="610" t="s">
        <v>424</v>
      </c>
      <c r="K99" s="580" t="s">
        <v>456</v>
      </c>
      <c r="L99" s="587" t="s">
        <v>460</v>
      </c>
    </row>
    <row r="100" spans="1:12" ht="12.75">
      <c r="A100" s="528"/>
      <c r="B100" s="758"/>
      <c r="C100" s="759"/>
      <c r="D100" s="760"/>
      <c r="E100" s="581"/>
      <c r="F100" s="611"/>
      <c r="G100" s="612" t="s">
        <v>73</v>
      </c>
      <c r="H100" s="613" t="s">
        <v>452</v>
      </c>
      <c r="I100" s="624" t="s">
        <v>693</v>
      </c>
      <c r="J100" s="611" t="s">
        <v>465</v>
      </c>
      <c r="K100" s="585" t="str">
        <f>+$K$42</f>
        <v>ATRAPADO</v>
      </c>
      <c r="L100" s="586" t="s">
        <v>461</v>
      </c>
    </row>
    <row r="101" spans="1:12" ht="12.75">
      <c r="A101" s="528"/>
      <c r="B101" s="576" t="s">
        <v>466</v>
      </c>
      <c r="C101" s="577"/>
      <c r="D101" s="578"/>
      <c r="E101" s="579" t="s">
        <v>451</v>
      </c>
      <c r="F101" s="614">
        <f>+F92</f>
        <v>325.4</v>
      </c>
      <c r="G101" s="615">
        <f>+(J31/100+1)*G92</f>
        <v>997.1738472554663</v>
      </c>
      <c r="H101" s="615">
        <f>+(H31/100+1)*H92</f>
        <v>826.7457210750243</v>
      </c>
      <c r="I101" s="615">
        <f>I92</f>
        <v>3.9048</v>
      </c>
      <c r="J101" s="616">
        <f>+J92-((J31-J32)/100*G92+(H31-H32)/100*H92)</f>
        <v>191.20131003205466</v>
      </c>
      <c r="K101" s="617">
        <f>+K92</f>
        <v>0.25</v>
      </c>
      <c r="L101" s="618">
        <f>SUM(F101:K101)</f>
        <v>2344.675678362545</v>
      </c>
    </row>
    <row r="102" spans="1:12" ht="12.75">
      <c r="A102" s="528"/>
      <c r="B102" s="594"/>
      <c r="C102" s="595"/>
      <c r="D102" s="596"/>
      <c r="E102" s="581"/>
      <c r="F102" s="582"/>
      <c r="G102" s="619"/>
      <c r="H102" s="582"/>
      <c r="I102" s="582"/>
      <c r="J102" s="582"/>
      <c r="K102" s="546"/>
      <c r="L102" s="582"/>
    </row>
    <row r="103" spans="1:12" ht="12.75">
      <c r="A103" s="528"/>
      <c r="B103" s="598" t="s">
        <v>469</v>
      </c>
      <c r="C103" s="599"/>
      <c r="D103" s="600"/>
      <c r="E103" s="583" t="s">
        <v>471</v>
      </c>
      <c r="F103" s="601">
        <v>1</v>
      </c>
      <c r="G103" s="602">
        <f>+G101/F101</f>
        <v>3.0644555846818267</v>
      </c>
      <c r="H103" s="602">
        <f>+H101/F101</f>
        <v>2.540705965196756</v>
      </c>
      <c r="I103" s="583">
        <f>I94</f>
        <v>0.5071168831168831</v>
      </c>
      <c r="J103" s="601">
        <f>+J101/H63</f>
        <v>24.831338965201905</v>
      </c>
      <c r="K103" s="528"/>
      <c r="L103" s="528"/>
    </row>
    <row r="104" spans="1:12" ht="12.75">
      <c r="A104" s="528"/>
      <c r="B104" s="528"/>
      <c r="C104" s="528"/>
      <c r="D104" s="528"/>
      <c r="E104" s="574"/>
      <c r="F104" s="574"/>
      <c r="G104" s="526"/>
      <c r="H104" s="574"/>
      <c r="I104" s="574"/>
      <c r="J104" s="574"/>
      <c r="K104" s="528"/>
      <c r="L104" s="528"/>
    </row>
    <row r="105" spans="1:12" ht="12.75">
      <c r="A105" s="512"/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</row>
    <row r="106" spans="1:12" ht="12.75">
      <c r="A106" s="512"/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</row>
    <row r="107" spans="1:12" ht="14.25">
      <c r="A107" s="537">
        <v>10</v>
      </c>
      <c r="B107" s="535" t="s">
        <v>722</v>
      </c>
      <c r="C107" s="512"/>
      <c r="D107" s="512"/>
      <c r="E107" s="512">
        <f>VLOOKUP('tablas '!N280,TANDAS,3)</f>
        <v>0.04</v>
      </c>
      <c r="F107" s="646" t="s">
        <v>723</v>
      </c>
      <c r="G107" s="512"/>
      <c r="H107" s="512"/>
      <c r="I107" s="512"/>
      <c r="J107" s="512"/>
      <c r="K107" s="512"/>
      <c r="L107" s="512"/>
    </row>
    <row r="108" spans="1:12" ht="12.75">
      <c r="A108" s="512"/>
      <c r="B108" s="512"/>
      <c r="C108" s="512"/>
      <c r="D108" s="512"/>
      <c r="E108" s="512"/>
      <c r="F108" s="512"/>
      <c r="G108" s="512"/>
      <c r="H108" s="512"/>
      <c r="I108" s="512"/>
      <c r="J108" s="512"/>
      <c r="K108" s="512"/>
      <c r="L108" s="512"/>
    </row>
    <row r="109" spans="1:12" ht="12.75">
      <c r="A109" s="512"/>
      <c r="B109" s="764" t="s">
        <v>463</v>
      </c>
      <c r="C109" s="765"/>
      <c r="D109" s="766"/>
      <c r="E109" s="831" t="s">
        <v>53</v>
      </c>
      <c r="F109" s="792" t="s">
        <v>375</v>
      </c>
      <c r="G109" s="793"/>
      <c r="H109" s="623" t="s">
        <v>710</v>
      </c>
      <c r="I109" s="610" t="s">
        <v>424</v>
      </c>
      <c r="J109" s="512"/>
      <c r="K109" s="512"/>
      <c r="L109" s="512"/>
    </row>
    <row r="110" spans="1:12" ht="12.75">
      <c r="A110" s="512"/>
      <c r="B110" s="758"/>
      <c r="C110" s="759"/>
      <c r="D110" s="760"/>
      <c r="E110" s="832"/>
      <c r="F110" s="612" t="s">
        <v>73</v>
      </c>
      <c r="G110" s="613" t="s">
        <v>452</v>
      </c>
      <c r="H110" s="624" t="s">
        <v>693</v>
      </c>
      <c r="I110" s="611" t="s">
        <v>465</v>
      </c>
      <c r="J110" s="512"/>
      <c r="K110" s="512"/>
      <c r="L110" s="512"/>
    </row>
    <row r="111" spans="1:12" ht="12.75">
      <c r="A111" s="512"/>
      <c r="B111" s="576" t="s">
        <v>466</v>
      </c>
      <c r="C111" s="577"/>
      <c r="D111" s="578"/>
      <c r="E111" s="614">
        <f>F101*E107</f>
        <v>13.016</v>
      </c>
      <c r="F111" s="615">
        <f>G101*E107</f>
        <v>39.88695389021865</v>
      </c>
      <c r="G111" s="615">
        <f>H101*E107</f>
        <v>33.06982884300098</v>
      </c>
      <c r="H111" s="615">
        <f>I101*E107*1000</f>
        <v>156.192</v>
      </c>
      <c r="I111" s="614">
        <f>J101*E107</f>
        <v>7.648052401282187</v>
      </c>
      <c r="J111" s="512"/>
      <c r="K111" s="512"/>
      <c r="L111" s="512"/>
    </row>
    <row r="112" spans="1:12" ht="12.75">
      <c r="A112" s="512"/>
      <c r="B112" s="594" t="s">
        <v>376</v>
      </c>
      <c r="C112" s="595"/>
      <c r="D112" s="596"/>
      <c r="E112" s="582" t="s">
        <v>724</v>
      </c>
      <c r="F112" s="619" t="s">
        <v>724</v>
      </c>
      <c r="G112" s="582" t="s">
        <v>724</v>
      </c>
      <c r="H112" s="582" t="s">
        <v>725</v>
      </c>
      <c r="I112" s="582" t="s">
        <v>726</v>
      </c>
      <c r="J112" s="512"/>
      <c r="K112" s="512"/>
      <c r="L112" s="512"/>
    </row>
    <row r="113" spans="1:12" ht="12.75">
      <c r="A113" s="512"/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</row>
    <row r="114" spans="1:12" ht="12.75">
      <c r="A114" s="512"/>
      <c r="B114" s="512"/>
      <c r="C114" s="512"/>
      <c r="D114" s="512"/>
      <c r="E114" s="512"/>
      <c r="F114" s="512"/>
      <c r="G114" s="512"/>
      <c r="H114" s="512"/>
      <c r="I114" s="512"/>
      <c r="J114" s="512"/>
      <c r="K114" s="512"/>
      <c r="L114" s="512"/>
    </row>
    <row r="115" spans="1:12" ht="12.75">
      <c r="A115" s="526">
        <v>11</v>
      </c>
      <c r="B115" s="535" t="s">
        <v>593</v>
      </c>
      <c r="C115" s="528"/>
      <c r="D115" s="528"/>
      <c r="E115" s="574"/>
      <c r="F115" s="574"/>
      <c r="G115" s="608"/>
      <c r="H115" s="574"/>
      <c r="I115" s="574"/>
      <c r="J115" s="574"/>
      <c r="K115" s="528"/>
      <c r="L115" s="528"/>
    </row>
    <row r="116" spans="1:12" ht="12.75">
      <c r="A116" s="528"/>
      <c r="B116" s="528"/>
      <c r="C116" s="528"/>
      <c r="D116" s="528"/>
      <c r="E116" s="574"/>
      <c r="F116" s="574"/>
      <c r="G116" s="526"/>
      <c r="H116" s="574"/>
      <c r="I116" s="574"/>
      <c r="J116" s="574"/>
      <c r="K116" s="528"/>
      <c r="L116" s="528"/>
    </row>
    <row r="117" spans="1:12" ht="12.75">
      <c r="A117" s="528"/>
      <c r="B117" s="764" t="s">
        <v>463</v>
      </c>
      <c r="C117" s="765"/>
      <c r="D117" s="766"/>
      <c r="E117" s="579" t="s">
        <v>462</v>
      </c>
      <c r="F117" s="580" t="s">
        <v>53</v>
      </c>
      <c r="G117" s="784" t="s">
        <v>375</v>
      </c>
      <c r="H117" s="785"/>
      <c r="I117" s="622" t="s">
        <v>710</v>
      </c>
      <c r="J117" s="580" t="s">
        <v>424</v>
      </c>
      <c r="K117" s="580" t="s">
        <v>456</v>
      </c>
      <c r="L117" s="587" t="s">
        <v>460</v>
      </c>
    </row>
    <row r="118" spans="1:12" ht="12.75">
      <c r="A118" s="528"/>
      <c r="B118" s="758"/>
      <c r="C118" s="759"/>
      <c r="D118" s="760"/>
      <c r="E118" s="581"/>
      <c r="F118" s="582"/>
      <c r="G118" s="583" t="s">
        <v>73</v>
      </c>
      <c r="H118" s="584" t="s">
        <v>452</v>
      </c>
      <c r="I118" s="546" t="s">
        <v>693</v>
      </c>
      <c r="J118" s="582" t="s">
        <v>465</v>
      </c>
      <c r="K118" s="585" t="str">
        <f>+$K$42</f>
        <v>ATRAPADO</v>
      </c>
      <c r="L118" s="586" t="s">
        <v>461</v>
      </c>
    </row>
    <row r="119" spans="1:12" ht="12.75">
      <c r="A119" s="537"/>
      <c r="B119" s="598" t="s">
        <v>469</v>
      </c>
      <c r="C119" s="599"/>
      <c r="D119" s="600"/>
      <c r="E119" s="620" t="s">
        <v>681</v>
      </c>
      <c r="F119" s="583">
        <v>42.5</v>
      </c>
      <c r="G119" s="621">
        <f>+G103*F119</f>
        <v>130.23936234897764</v>
      </c>
      <c r="H119" s="621">
        <f>+H103*F119</f>
        <v>107.98000352086213</v>
      </c>
      <c r="I119" s="621">
        <f>I103</f>
        <v>0.5071168831168831</v>
      </c>
      <c r="J119" s="601">
        <f>+J103</f>
        <v>24.831338965201905</v>
      </c>
      <c r="K119" s="583">
        <f>+K101</f>
        <v>0.25</v>
      </c>
      <c r="L119" s="621">
        <f>SUM(F119:K119)</f>
        <v>306.30782171815855</v>
      </c>
    </row>
    <row r="120" spans="1:12" ht="12.75">
      <c r="A120" s="528"/>
      <c r="B120" s="528"/>
      <c r="C120" s="528"/>
      <c r="D120" s="528"/>
      <c r="E120" s="528"/>
      <c r="F120" s="528"/>
      <c r="G120" s="528"/>
      <c r="H120" s="528"/>
      <c r="I120" s="528"/>
      <c r="J120" s="528"/>
      <c r="K120" s="528"/>
      <c r="L120" s="528"/>
    </row>
    <row r="121" spans="1:12" ht="12.75">
      <c r="A121" s="526">
        <v>12</v>
      </c>
      <c r="B121" s="535" t="s">
        <v>597</v>
      </c>
      <c r="C121" s="528"/>
      <c r="D121" s="528"/>
      <c r="E121" s="574"/>
      <c r="F121" s="574"/>
      <c r="G121" s="608"/>
      <c r="H121" s="574"/>
      <c r="I121" s="574"/>
      <c r="J121" s="574"/>
      <c r="K121" s="528"/>
      <c r="L121" s="528"/>
    </row>
    <row r="122" spans="1:12" ht="12.75">
      <c r="A122" s="528"/>
      <c r="B122" s="528"/>
      <c r="C122" s="528"/>
      <c r="D122" s="528"/>
      <c r="E122" s="574"/>
      <c r="F122" s="574"/>
      <c r="G122" s="526"/>
      <c r="H122" s="574"/>
      <c r="I122" s="574"/>
      <c r="J122" s="574"/>
      <c r="K122" s="528"/>
      <c r="L122" s="528"/>
    </row>
    <row r="123" spans="1:12" ht="12.75">
      <c r="A123" s="528"/>
      <c r="B123" s="764" t="s">
        <v>463</v>
      </c>
      <c r="C123" s="765"/>
      <c r="D123" s="766"/>
      <c r="E123" s="579" t="s">
        <v>462</v>
      </c>
      <c r="F123" s="580" t="s">
        <v>53</v>
      </c>
      <c r="G123" s="784" t="s">
        <v>375</v>
      </c>
      <c r="H123" s="785"/>
      <c r="I123" s="622" t="s">
        <v>710</v>
      </c>
      <c r="J123" s="580" t="s">
        <v>424</v>
      </c>
      <c r="K123" s="580" t="s">
        <v>456</v>
      </c>
      <c r="L123" s="587" t="s">
        <v>460</v>
      </c>
    </row>
    <row r="124" spans="1:12" ht="12.75">
      <c r="A124" s="528"/>
      <c r="B124" s="758"/>
      <c r="C124" s="759"/>
      <c r="D124" s="760"/>
      <c r="E124" s="581"/>
      <c r="F124" s="582"/>
      <c r="G124" s="583" t="s">
        <v>73</v>
      </c>
      <c r="H124" s="584" t="s">
        <v>452</v>
      </c>
      <c r="I124" s="546" t="s">
        <v>693</v>
      </c>
      <c r="J124" s="582" t="s">
        <v>465</v>
      </c>
      <c r="K124" s="585" t="str">
        <f>+$K$42</f>
        <v>ATRAPADO</v>
      </c>
      <c r="L124" s="586" t="s">
        <v>461</v>
      </c>
    </row>
    <row r="125" spans="1:12" ht="12.75">
      <c r="A125" s="537"/>
      <c r="B125" s="598" t="s">
        <v>594</v>
      </c>
      <c r="C125" s="599"/>
      <c r="D125" s="600"/>
      <c r="E125" s="620" t="s">
        <v>595</v>
      </c>
      <c r="F125" s="583">
        <f>+F92</f>
        <v>325.4</v>
      </c>
      <c r="G125" s="621">
        <f>+G92</f>
        <v>989.6524883440514</v>
      </c>
      <c r="H125" s="621">
        <f>+H92</f>
        <v>792.2814768327976</v>
      </c>
      <c r="I125" s="621">
        <f>I92</f>
        <v>3.9048</v>
      </c>
      <c r="J125" s="601">
        <f>C57</f>
        <v>216</v>
      </c>
      <c r="K125" s="583">
        <f>+K92</f>
        <v>0.25</v>
      </c>
      <c r="L125" s="621"/>
    </row>
    <row r="126" spans="1:12" ht="12.75">
      <c r="A126" s="512"/>
      <c r="B126" s="598" t="s">
        <v>598</v>
      </c>
      <c r="C126" s="599"/>
      <c r="D126" s="600"/>
      <c r="E126" s="620" t="s">
        <v>470</v>
      </c>
      <c r="F126" s="601">
        <f>+F92/F125</f>
        <v>1</v>
      </c>
      <c r="G126" s="621">
        <f>+G125*35.31/($J$29*H63)</f>
        <v>2.6774416245970545</v>
      </c>
      <c r="H126" s="621">
        <f>+H125*35.31/($H$29*H63)</f>
        <v>2.3200360706379133</v>
      </c>
      <c r="I126" s="621">
        <f>I94</f>
        <v>0.5071168831168831</v>
      </c>
      <c r="J126" s="601">
        <f>+J94</f>
        <v>28.051948051948052</v>
      </c>
      <c r="K126" s="583">
        <f>+K93</f>
        <v>0.025</v>
      </c>
      <c r="L126" s="621"/>
    </row>
    <row r="127" spans="1:12" ht="12.75">
      <c r="A127" s="512"/>
      <c r="B127" s="512"/>
      <c r="C127" s="512"/>
      <c r="D127" s="512"/>
      <c r="E127" s="512"/>
      <c r="F127" s="512"/>
      <c r="G127" s="512"/>
      <c r="H127" s="512"/>
      <c r="I127" s="512"/>
      <c r="J127" s="512"/>
      <c r="K127" s="512"/>
      <c r="L127" s="512"/>
    </row>
    <row r="128" spans="1:12" ht="12.75">
      <c r="A128" s="526">
        <v>13</v>
      </c>
      <c r="B128" s="535" t="s">
        <v>596</v>
      </c>
      <c r="C128" s="528"/>
      <c r="D128" s="528"/>
      <c r="E128" s="574"/>
      <c r="F128" s="574"/>
      <c r="G128" s="608"/>
      <c r="H128" s="574"/>
      <c r="I128" s="574"/>
      <c r="J128" s="574"/>
      <c r="K128" s="528"/>
      <c r="L128" s="528"/>
    </row>
    <row r="129" spans="1:12" ht="12.75">
      <c r="A129" s="528"/>
      <c r="B129" s="528"/>
      <c r="C129" s="528"/>
      <c r="D129" s="528"/>
      <c r="E129" s="574"/>
      <c r="F129" s="574"/>
      <c r="G129" s="526"/>
      <c r="H129" s="574"/>
      <c r="I129" s="574"/>
      <c r="J129" s="574"/>
      <c r="K129" s="528"/>
      <c r="L129" s="528"/>
    </row>
    <row r="130" spans="1:12" ht="12.75">
      <c r="A130" s="528"/>
      <c r="B130" s="764" t="s">
        <v>463</v>
      </c>
      <c r="C130" s="765"/>
      <c r="D130" s="766"/>
      <c r="E130" s="579" t="s">
        <v>462</v>
      </c>
      <c r="F130" s="580" t="s">
        <v>53</v>
      </c>
      <c r="G130" s="784" t="s">
        <v>375</v>
      </c>
      <c r="H130" s="785"/>
      <c r="I130" s="622" t="s">
        <v>710</v>
      </c>
      <c r="J130" s="580" t="s">
        <v>424</v>
      </c>
      <c r="K130" s="580" t="s">
        <v>456</v>
      </c>
      <c r="L130" s="587" t="s">
        <v>460</v>
      </c>
    </row>
    <row r="131" spans="1:12" ht="12.75">
      <c r="A131" s="528"/>
      <c r="B131" s="758"/>
      <c r="C131" s="759"/>
      <c r="D131" s="760"/>
      <c r="E131" s="581"/>
      <c r="F131" s="582"/>
      <c r="G131" s="583" t="s">
        <v>73</v>
      </c>
      <c r="H131" s="584" t="s">
        <v>452</v>
      </c>
      <c r="I131" s="546" t="s">
        <v>693</v>
      </c>
      <c r="J131" s="582" t="s">
        <v>465</v>
      </c>
      <c r="K131" s="585" t="str">
        <f>+$K$42</f>
        <v>ATRAPADO</v>
      </c>
      <c r="L131" s="586" t="s">
        <v>461</v>
      </c>
    </row>
    <row r="132" spans="1:12" ht="12.75">
      <c r="A132" s="537"/>
      <c r="B132" s="598" t="s">
        <v>733</v>
      </c>
      <c r="C132" s="599"/>
      <c r="D132" s="600"/>
      <c r="E132" s="620" t="s">
        <v>595</v>
      </c>
      <c r="F132" s="583">
        <f>+F92</f>
        <v>325.4</v>
      </c>
      <c r="G132" s="621">
        <f>+G101</f>
        <v>997.1738472554663</v>
      </c>
      <c r="H132" s="621">
        <f>+H101</f>
        <v>826.7457210750243</v>
      </c>
      <c r="I132" s="621">
        <f>I92</f>
        <v>3.9048</v>
      </c>
      <c r="J132" s="601">
        <f>+J101</f>
        <v>191.20131003205466</v>
      </c>
      <c r="K132" s="583">
        <f>+K92</f>
        <v>0.25</v>
      </c>
      <c r="L132" s="621"/>
    </row>
    <row r="133" spans="1:12" ht="12.75">
      <c r="A133" s="512"/>
      <c r="B133" s="598" t="s">
        <v>598</v>
      </c>
      <c r="C133" s="599"/>
      <c r="D133" s="600"/>
      <c r="E133" s="620" t="s">
        <v>470</v>
      </c>
      <c r="F133" s="601">
        <f>+F94</f>
        <v>1</v>
      </c>
      <c r="G133" s="621">
        <f>+G132*35.31/(J29*H63)</f>
        <v>2.6977901809439926</v>
      </c>
      <c r="H133" s="621">
        <f>+H132*35.31/(H29*H63)</f>
        <v>2.4209576397106622</v>
      </c>
      <c r="I133" s="621">
        <f>I94</f>
        <v>0.5071168831168831</v>
      </c>
      <c r="J133" s="601">
        <f>+J103</f>
        <v>24.831338965201905</v>
      </c>
      <c r="K133" s="583">
        <f>+K93</f>
        <v>0.025</v>
      </c>
      <c r="L133" s="621"/>
    </row>
    <row r="134" spans="1:12" ht="12.75">
      <c r="A134" s="512"/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</row>
    <row r="135" spans="1:12" ht="12.75">
      <c r="A135" s="512"/>
      <c r="B135" s="512"/>
      <c r="C135" s="512"/>
      <c r="D135" s="512"/>
      <c r="E135" s="512"/>
      <c r="F135" s="512"/>
      <c r="G135" s="512"/>
      <c r="H135" s="512"/>
      <c r="I135" s="512"/>
      <c r="J135" s="512"/>
      <c r="K135" s="512"/>
      <c r="L135" s="512"/>
    </row>
    <row r="136" spans="1:12" ht="12.75">
      <c r="A136" s="512"/>
      <c r="B136" s="512"/>
      <c r="C136" s="512"/>
      <c r="D136" s="512"/>
      <c r="E136" s="512"/>
      <c r="F136" s="512"/>
      <c r="G136" s="512"/>
      <c r="H136" s="512"/>
      <c r="I136" s="512"/>
      <c r="J136" s="512"/>
      <c r="K136" s="512"/>
      <c r="L136" s="512"/>
    </row>
    <row r="137" spans="1:12" ht="12.75">
      <c r="A137" s="512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</row>
    <row r="138" spans="1:12" ht="12.75">
      <c r="A138" s="512"/>
      <c r="B138" s="512"/>
      <c r="C138" s="512"/>
      <c r="D138" s="512"/>
      <c r="E138" s="512"/>
      <c r="F138" s="512"/>
      <c r="G138" s="512"/>
      <c r="H138" s="512"/>
      <c r="I138" s="512"/>
      <c r="J138" s="512"/>
      <c r="K138" s="512"/>
      <c r="L138" s="512"/>
    </row>
    <row r="139" spans="1:12" ht="12.75">
      <c r="A139" s="512"/>
      <c r="B139" s="512"/>
      <c r="C139" s="512"/>
      <c r="D139" s="512"/>
      <c r="E139" s="512"/>
      <c r="F139" s="512"/>
      <c r="G139" s="512"/>
      <c r="H139" s="512"/>
      <c r="I139" s="512"/>
      <c r="J139" s="512"/>
      <c r="K139" s="512"/>
      <c r="L139" s="512"/>
    </row>
    <row r="140" spans="1:12" ht="12.75">
      <c r="A140" s="512"/>
      <c r="B140" s="512"/>
      <c r="C140" s="512"/>
      <c r="D140" s="512"/>
      <c r="E140" s="512"/>
      <c r="F140" s="512"/>
      <c r="G140" s="512"/>
      <c r="H140" s="512"/>
      <c r="I140" s="512"/>
      <c r="J140" s="512"/>
      <c r="K140" s="512"/>
      <c r="L140" s="512"/>
    </row>
    <row r="141" spans="1:12" ht="12.75">
      <c r="A141" s="512"/>
      <c r="B141" s="512"/>
      <c r="C141" s="512"/>
      <c r="D141" s="512"/>
      <c r="E141" s="512"/>
      <c r="F141" s="512"/>
      <c r="G141" s="512"/>
      <c r="H141" s="512"/>
      <c r="I141" s="512"/>
      <c r="J141" s="512"/>
      <c r="K141" s="512"/>
      <c r="L141" s="512"/>
    </row>
    <row r="142" spans="1:12" ht="12.75">
      <c r="A142" s="512"/>
      <c r="B142" s="512"/>
      <c r="C142" s="512"/>
      <c r="D142" s="512"/>
      <c r="E142" s="512"/>
      <c r="F142" s="512"/>
      <c r="G142" s="512"/>
      <c r="H142" s="512"/>
      <c r="I142" s="512"/>
      <c r="J142" s="512"/>
      <c r="K142" s="512"/>
      <c r="L142" s="512"/>
    </row>
    <row r="143" spans="1:12" ht="12.75">
      <c r="A143" s="512"/>
      <c r="B143" s="512"/>
      <c r="C143" s="512"/>
      <c r="D143" s="512"/>
      <c r="E143" s="512"/>
      <c r="F143" s="512"/>
      <c r="G143" s="512"/>
      <c r="H143" s="512"/>
      <c r="I143" s="512"/>
      <c r="J143" s="512"/>
      <c r="K143" s="512"/>
      <c r="L143" s="512"/>
    </row>
    <row r="144" spans="1:12" ht="12.75">
      <c r="A144" s="512"/>
      <c r="B144" s="512"/>
      <c r="C144" s="512"/>
      <c r="D144" s="512"/>
      <c r="E144" s="512"/>
      <c r="F144" s="512"/>
      <c r="G144" s="512"/>
      <c r="H144" s="512"/>
      <c r="I144" s="512"/>
      <c r="J144" s="512"/>
      <c r="K144" s="512"/>
      <c r="L144" s="512"/>
    </row>
    <row r="145" s="512" customFormat="1" ht="12.75"/>
    <row r="146" s="512" customFormat="1" ht="12.75"/>
    <row r="147" s="512" customFormat="1" ht="12.75"/>
    <row r="148" s="512" customFormat="1" ht="12.75"/>
    <row r="149" s="512" customFormat="1" ht="12.75"/>
    <row r="150" s="512" customFormat="1" ht="12.75"/>
    <row r="151" s="512" customFormat="1" ht="12.75"/>
    <row r="152" s="512" customFormat="1" ht="12.75"/>
    <row r="153" s="512" customFormat="1" ht="12.75"/>
    <row r="154" s="512" customFormat="1" ht="12.75"/>
    <row r="155" s="512" customFormat="1" ht="12.75"/>
    <row r="156" s="512" customFormat="1" ht="12.75"/>
    <row r="157" s="512" customFormat="1" ht="12.75"/>
    <row r="158" s="512" customFormat="1" ht="12.75"/>
    <row r="159" s="512" customFormat="1" ht="12.75"/>
    <row r="160" s="512" customFormat="1" ht="12.75"/>
    <row r="161" s="512" customFormat="1" ht="12.75"/>
    <row r="162" s="512" customFormat="1" ht="12.75"/>
    <row r="163" s="512" customFormat="1" ht="12.75"/>
    <row r="164" s="512" customFormat="1" ht="12.75"/>
    <row r="165" s="512" customFormat="1" ht="12.75"/>
    <row r="166" s="512" customFormat="1" ht="12.75"/>
    <row r="167" s="512" customFormat="1" ht="12.75"/>
    <row r="168" s="512" customFormat="1" ht="12.75"/>
    <row r="169" s="512" customFormat="1" ht="12.75"/>
    <row r="170" s="512" customFormat="1" ht="12.75"/>
    <row r="171" s="512" customFormat="1" ht="12.75"/>
    <row r="172" s="512" customFormat="1" ht="12.75"/>
    <row r="173" s="512" customFormat="1" ht="12.75"/>
    <row r="174" s="512" customFormat="1" ht="12.75"/>
    <row r="175" s="512" customFormat="1" ht="12.75"/>
    <row r="176" s="512" customFormat="1" ht="12.75"/>
    <row r="177" s="512" customFormat="1" ht="12.75"/>
    <row r="178" s="512" customFormat="1" ht="12.75"/>
    <row r="179" s="512" customFormat="1" ht="12.75"/>
    <row r="180" s="512" customFormat="1" ht="12.75"/>
    <row r="181" s="512" customFormat="1" ht="12.75"/>
    <row r="182" s="512" customFormat="1" ht="12.75"/>
    <row r="183" s="512" customFormat="1" ht="12.75"/>
    <row r="184" s="512" customFormat="1" ht="12.75"/>
    <row r="185" s="512" customFormat="1" ht="12.75"/>
    <row r="186" s="512" customFormat="1" ht="12.75"/>
    <row r="187" s="512" customFormat="1" ht="12.75"/>
    <row r="188" s="512" customFormat="1" ht="12.75"/>
    <row r="189" s="512" customFormat="1" ht="12.75"/>
    <row r="190" s="512" customFormat="1" ht="12.75"/>
    <row r="191" s="512" customFormat="1" ht="12.75"/>
    <row r="192" s="512" customFormat="1" ht="12.75"/>
    <row r="193" s="512" customFormat="1" ht="12.75"/>
    <row r="194" s="512" customFormat="1" ht="12.75"/>
    <row r="195" s="512" customFormat="1" ht="12.75"/>
    <row r="196" s="512" customFormat="1" ht="12.75"/>
    <row r="197" s="512" customFormat="1" ht="12.75"/>
    <row r="198" s="512" customFormat="1" ht="12.75"/>
    <row r="199" s="512" customFormat="1" ht="12.75"/>
    <row r="200" s="512" customFormat="1" ht="12.75"/>
    <row r="201" s="512" customFormat="1" ht="12.75"/>
    <row r="202" s="512" customFormat="1" ht="12.75"/>
    <row r="203" s="512" customFormat="1" ht="12.75"/>
    <row r="204" s="512" customFormat="1" ht="12.75"/>
    <row r="205" s="512" customFormat="1" ht="12.75"/>
    <row r="206" s="512" customFormat="1" ht="12.75"/>
    <row r="207" s="512" customFormat="1" ht="12.75"/>
    <row r="208" s="512" customFormat="1" ht="12.75"/>
    <row r="209" s="512" customFormat="1" ht="12.75"/>
    <row r="210" s="512" customFormat="1" ht="12.75"/>
    <row r="211" s="512" customFormat="1" ht="12.75"/>
    <row r="212" s="512" customFormat="1" ht="12.75"/>
    <row r="213" s="512" customFormat="1" ht="12.75"/>
    <row r="214" s="512" customFormat="1" ht="12.75"/>
    <row r="215" s="512" customFormat="1" ht="12.75"/>
    <row r="216" s="512" customFormat="1" ht="12.75"/>
    <row r="217" s="512" customFormat="1" ht="12.75"/>
    <row r="218" s="512" customFormat="1" ht="12.75"/>
    <row r="219" s="512" customFormat="1" ht="12.75"/>
    <row r="220" s="512" customFormat="1" ht="12.75"/>
    <row r="221" s="512" customFormat="1" ht="12.75"/>
    <row r="222" s="512" customFormat="1" ht="12.75"/>
    <row r="223" s="512" customFormat="1" ht="12.75"/>
    <row r="224" s="512" customFormat="1" ht="12.75"/>
    <row r="225" s="512" customFormat="1" ht="12.75"/>
    <row r="226" s="512" customFormat="1" ht="12.75"/>
    <row r="227" s="512" customFormat="1" ht="12.75"/>
    <row r="228" s="512" customFormat="1" ht="12.75"/>
    <row r="229" s="512" customFormat="1" ht="12.75"/>
    <row r="230" s="512" customFormat="1" ht="12.75"/>
    <row r="231" s="512" customFormat="1" ht="12.75"/>
    <row r="232" s="512" customFormat="1" ht="12.75"/>
    <row r="233" s="512" customFormat="1" ht="12.75"/>
    <row r="234" s="512" customFormat="1" ht="12.75"/>
    <row r="235" s="512" customFormat="1" ht="12.75"/>
    <row r="236" s="512" customFormat="1" ht="12.75"/>
    <row r="237" s="512" customFormat="1" ht="12.75"/>
    <row r="238" s="512" customFormat="1" ht="12.75"/>
    <row r="239" s="512" customFormat="1" ht="12.75"/>
    <row r="240" s="512" customFormat="1" ht="12.75"/>
    <row r="241" s="512" customFormat="1" ht="12.75"/>
    <row r="242" s="512" customFormat="1" ht="12.75"/>
    <row r="243" s="512" customFormat="1" ht="12.75"/>
    <row r="244" s="512" customFormat="1" ht="12.75"/>
  </sheetData>
  <sheetProtection password="BF4C" sheet="1" objects="1" scenarios="1" selectLockedCells="1"/>
  <mergeCells count="75">
    <mergeCell ref="B130:D131"/>
    <mergeCell ref="B90:D91"/>
    <mergeCell ref="B68:D69"/>
    <mergeCell ref="B117:D118"/>
    <mergeCell ref="B123:D124"/>
    <mergeCell ref="B109:D110"/>
    <mergeCell ref="B99:D100"/>
    <mergeCell ref="H29:I29"/>
    <mergeCell ref="H62:J62"/>
    <mergeCell ref="H63:J63"/>
    <mergeCell ref="E109:E110"/>
    <mergeCell ref="F109:G109"/>
    <mergeCell ref="J29:K29"/>
    <mergeCell ref="G68:H68"/>
    <mergeCell ref="G54:H54"/>
    <mergeCell ref="J32:K32"/>
    <mergeCell ref="J31:K31"/>
    <mergeCell ref="I18:J18"/>
    <mergeCell ref="H26:I26"/>
    <mergeCell ref="H27:I27"/>
    <mergeCell ref="H28:I28"/>
    <mergeCell ref="F23:J23"/>
    <mergeCell ref="F24:J24"/>
    <mergeCell ref="J28:K28"/>
    <mergeCell ref="J27:K27"/>
    <mergeCell ref="J26:K26"/>
    <mergeCell ref="J30:K30"/>
    <mergeCell ref="G58:H58"/>
    <mergeCell ref="H30:I30"/>
    <mergeCell ref="H31:I31"/>
    <mergeCell ref="H32:I32"/>
    <mergeCell ref="I55:K55"/>
    <mergeCell ref="C38:J38"/>
    <mergeCell ref="H42:J42"/>
    <mergeCell ref="C43:J43"/>
    <mergeCell ref="B46:K46"/>
    <mergeCell ref="G83:G84"/>
    <mergeCell ref="E54:F54"/>
    <mergeCell ref="H41:J41"/>
    <mergeCell ref="E56:F56"/>
    <mergeCell ref="I56:K56"/>
    <mergeCell ref="I54:K54"/>
    <mergeCell ref="I57:K58"/>
    <mergeCell ref="G55:H55"/>
    <mergeCell ref="G56:H56"/>
    <mergeCell ref="G130:H130"/>
    <mergeCell ref="G90:H90"/>
    <mergeCell ref="E61:F61"/>
    <mergeCell ref="E62:F62"/>
    <mergeCell ref="E63:F63"/>
    <mergeCell ref="G123:H123"/>
    <mergeCell ref="G117:H117"/>
    <mergeCell ref="F78:F79"/>
    <mergeCell ref="G99:H99"/>
    <mergeCell ref="H61:J61"/>
    <mergeCell ref="C57:C58"/>
    <mergeCell ref="F11:G11"/>
    <mergeCell ref="D11:E11"/>
    <mergeCell ref="C26:E27"/>
    <mergeCell ref="C55:D55"/>
    <mergeCell ref="C30:E30"/>
    <mergeCell ref="C31:E31"/>
    <mergeCell ref="C29:E29"/>
    <mergeCell ref="E58:F58"/>
    <mergeCell ref="E55:F55"/>
    <mergeCell ref="A1:J1"/>
    <mergeCell ref="A2:J2"/>
    <mergeCell ref="C32:E32"/>
    <mergeCell ref="C33:E33"/>
    <mergeCell ref="C18:G18"/>
    <mergeCell ref="C28:E28"/>
    <mergeCell ref="D10:E10"/>
    <mergeCell ref="F10:G10"/>
    <mergeCell ref="H33:I33"/>
    <mergeCell ref="J33:K33"/>
  </mergeCells>
  <printOptions/>
  <pageMargins left="0.984251968503937" right="0.1968503937007874" top="0.984251968503937" bottom="0.5905511811023623" header="0.3937007874015748" footer="0.3937007874015748"/>
  <pageSetup horizontalDpi="300" verticalDpi="300" orientation="portrait" paperSize="9" scale="68" r:id="rId5"/>
  <headerFooter alignWithMargins="0">
    <oddHeader>&amp;L&amp;"Arial Narrow,Normal"&amp;6TÉC. LABORATORIO DE SUELOS, CONCRETO Y ASFALTO
JONY C. GUTIÉRREZ ABANTO&amp;C&amp;G&amp;R&amp;"Arial Narrow,Normal"&amp;6LABORATORIO DE TECNOLOGÍA DEL CONCRETO
UNIVERSIDAD PERUANA DE CIENCIAS APLICADAS</oddHeader>
    <oddFooter>&amp;C&amp;"Arial Narrow,Normal"&amp;7PROL. PRIMAVERA 2390 - SURCO     jony.gutierrez@upc.edu.pe     9869-35836  /  3133333 (6916)</oddFooter>
  </headerFooter>
  <rowBreaks count="3" manualBreakCount="3">
    <brk id="51" max="11" man="1"/>
    <brk id="134" max="12" man="1"/>
    <brk id="144" max="11" man="1"/>
  </rowBreaks>
  <ignoredErrors>
    <ignoredError sqref="E107" evalError="1"/>
    <ignoredError sqref="I132" formula="1"/>
  </ignoredError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G421"/>
  <sheetViews>
    <sheetView zoomScalePageLayoutView="0" workbookViewId="0" topLeftCell="B222">
      <selection activeCell="O233" sqref="O233"/>
    </sheetView>
  </sheetViews>
  <sheetFormatPr defaultColWidth="11.421875" defaultRowHeight="12.75"/>
  <cols>
    <col min="1" max="12" width="9.7109375" style="0" customWidth="1"/>
    <col min="13" max="13" width="26.28125" style="0" customWidth="1"/>
    <col min="15" max="16" width="9.7109375" style="0" customWidth="1"/>
    <col min="17" max="17" width="6.7109375" style="0" customWidth="1"/>
    <col min="18" max="18" width="11.00390625" style="0" customWidth="1"/>
    <col min="19" max="32" width="6.7109375" style="0" customWidth="1"/>
  </cols>
  <sheetData>
    <row r="1" spans="1:31" ht="12.75">
      <c r="A1" s="9"/>
      <c r="B1" s="9" t="s">
        <v>114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>
      <c r="A2" s="50"/>
      <c r="B2" s="158"/>
      <c r="C2" s="9" t="s">
        <v>18</v>
      </c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2.75">
      <c r="A3" s="837" t="s">
        <v>19</v>
      </c>
      <c r="B3" s="741"/>
      <c r="C3" s="740" t="s">
        <v>20</v>
      </c>
      <c r="D3" s="729"/>
      <c r="E3" s="74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>
      <c r="A4" s="838" t="s">
        <v>21</v>
      </c>
      <c r="B4" s="843"/>
      <c r="C4" s="841" t="s">
        <v>22</v>
      </c>
      <c r="D4" s="880"/>
      <c r="E4" s="84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2.75">
      <c r="A5" s="154">
        <v>15</v>
      </c>
      <c r="B5" s="85"/>
      <c r="C5" s="9"/>
      <c r="D5" s="16">
        <v>1.16</v>
      </c>
      <c r="E5" s="9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2.75">
      <c r="A6" s="154">
        <v>20</v>
      </c>
      <c r="B6" s="85"/>
      <c r="C6" s="9"/>
      <c r="D6" s="16">
        <v>1.08</v>
      </c>
      <c r="E6" s="93"/>
      <c r="F6" s="9">
        <v>28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154">
        <v>25</v>
      </c>
      <c r="B7" s="85"/>
      <c r="C7" s="9"/>
      <c r="D7" s="16">
        <v>1.03</v>
      </c>
      <c r="E7" s="9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2.75">
      <c r="A8" s="155">
        <v>30</v>
      </c>
      <c r="B8" s="83"/>
      <c r="C8" s="82"/>
      <c r="D8" s="19">
        <v>1</v>
      </c>
      <c r="E8" s="16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2.75">
      <c r="A10" s="9"/>
      <c r="B10" s="9" t="s">
        <v>684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2.75">
      <c r="A13" s="9"/>
      <c r="B13" s="9"/>
      <c r="C13" s="9"/>
      <c r="D13" s="9"/>
      <c r="E13" s="161" t="s">
        <v>317</v>
      </c>
      <c r="F13" s="124">
        <f>+G20+1.34*E14</f>
        <v>220.26863527994348</v>
      </c>
      <c r="G13" s="9" t="s">
        <v>345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2.75">
      <c r="A14" s="9"/>
      <c r="B14" s="9"/>
      <c r="C14" s="9"/>
      <c r="D14" s="9"/>
      <c r="E14" s="162">
        <f>+DSP!H185</f>
        <v>7.663160656674242</v>
      </c>
      <c r="F14" s="124"/>
      <c r="G14" s="163">
        <f>MAX(F13:F15)</f>
        <v>220.26863527994348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2.75">
      <c r="A15" s="9"/>
      <c r="B15" s="9"/>
      <c r="C15" s="9"/>
      <c r="D15" s="9"/>
      <c r="E15" s="50" t="s">
        <v>348</v>
      </c>
      <c r="F15" s="419">
        <f>+G20+2.33*E14-35</f>
        <v>192.85516433005097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3.5" thickBot="1">
      <c r="A17" s="50"/>
      <c r="B17" s="164" t="s">
        <v>115</v>
      </c>
      <c r="C17" s="164"/>
      <c r="D17" s="9"/>
      <c r="E17" s="9"/>
      <c r="F17" s="9"/>
      <c r="G17" s="9" t="s">
        <v>345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9"/>
      <c r="B18" s="880" t="s">
        <v>116</v>
      </c>
      <c r="C18" s="880"/>
      <c r="D18" s="9"/>
      <c r="E18" s="9"/>
      <c r="F18" s="94"/>
      <c r="G18" s="80"/>
      <c r="H18" s="80"/>
      <c r="I18" s="16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878" t="s">
        <v>89</v>
      </c>
      <c r="B19" s="879"/>
      <c r="C19" s="166" t="s">
        <v>90</v>
      </c>
      <c r="D19" s="167"/>
      <c r="E19" s="9"/>
      <c r="F19" s="96" t="s">
        <v>343</v>
      </c>
      <c r="G19" s="116"/>
      <c r="H19" s="116" t="s">
        <v>344</v>
      </c>
      <c r="I19" s="11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75">
      <c r="A20" s="840" t="s">
        <v>91</v>
      </c>
      <c r="B20" s="718"/>
      <c r="C20" s="168" t="s">
        <v>92</v>
      </c>
      <c r="D20" s="83">
        <v>70</v>
      </c>
      <c r="E20" s="9"/>
      <c r="F20" s="169" t="s">
        <v>342</v>
      </c>
      <c r="G20" s="170">
        <f>+E323</f>
        <v>210</v>
      </c>
      <c r="H20" s="171">
        <f>+IF(G20&lt;211,(G20+D20),IF(AND(G20&gt;210,G20&lt;351),(G20+D21),IF(G20&gt;350,(G20+D22),"OK")))</f>
        <v>280</v>
      </c>
      <c r="I20" s="11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3.5" thickBot="1">
      <c r="A21" s="840" t="s">
        <v>93</v>
      </c>
      <c r="B21" s="718"/>
      <c r="C21" s="168" t="s">
        <v>92</v>
      </c>
      <c r="D21" s="83">
        <v>84</v>
      </c>
      <c r="E21" s="9"/>
      <c r="F21" s="95"/>
      <c r="G21" s="88"/>
      <c r="H21" s="88"/>
      <c r="I21" s="17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2.75">
      <c r="A22" s="840" t="s">
        <v>94</v>
      </c>
      <c r="B22" s="718"/>
      <c r="C22" s="168" t="s">
        <v>92</v>
      </c>
      <c r="D22" s="83">
        <v>98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2.75">
      <c r="A24" s="9"/>
      <c r="B24" s="9" t="s">
        <v>117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2.75">
      <c r="A25" s="9"/>
      <c r="B25" s="173" t="s">
        <v>23</v>
      </c>
      <c r="C25" s="17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3.5" thickBot="1">
      <c r="A26" s="50"/>
      <c r="B26" s="174" t="s">
        <v>118</v>
      </c>
      <c r="C26" s="5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51" t="s">
        <v>24</v>
      </c>
      <c r="B27" s="175" t="s">
        <v>25</v>
      </c>
      <c r="C27" s="80"/>
      <c r="D27" s="17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53" t="s">
        <v>19</v>
      </c>
      <c r="B28" s="177" t="s">
        <v>26</v>
      </c>
      <c r="C28" s="82"/>
      <c r="D28" s="17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54" t="s">
        <v>27</v>
      </c>
      <c r="B29" s="179" t="s">
        <v>28</v>
      </c>
      <c r="C29" s="179" t="s">
        <v>29</v>
      </c>
      <c r="D29" s="180" t="s">
        <v>30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2.75">
      <c r="A30" s="181">
        <v>1</v>
      </c>
      <c r="B30" s="55">
        <v>1.376</v>
      </c>
      <c r="C30" s="55">
        <v>3.078</v>
      </c>
      <c r="D30" s="56">
        <v>6.14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2.75">
      <c r="A31" s="181">
        <f aca="true" t="shared" si="0" ref="A31:A39">+A30+1</f>
        <v>2</v>
      </c>
      <c r="B31" s="55">
        <v>1.061</v>
      </c>
      <c r="C31" s="55">
        <v>1.886</v>
      </c>
      <c r="D31" s="56">
        <v>2.92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2.75">
      <c r="A32" s="181">
        <f t="shared" si="0"/>
        <v>3</v>
      </c>
      <c r="B32" s="55">
        <v>0.978</v>
      </c>
      <c r="C32" s="55">
        <v>1.638</v>
      </c>
      <c r="D32" s="56">
        <v>2.353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75">
      <c r="A33" s="181">
        <f t="shared" si="0"/>
        <v>4</v>
      </c>
      <c r="B33" s="55">
        <v>0.941</v>
      </c>
      <c r="C33" s="55">
        <v>1.533</v>
      </c>
      <c r="D33" s="56">
        <v>2.132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75">
      <c r="A34" s="181">
        <f t="shared" si="0"/>
        <v>5</v>
      </c>
      <c r="B34" s="55">
        <v>0.92</v>
      </c>
      <c r="C34" s="55">
        <v>1.476</v>
      </c>
      <c r="D34" s="56">
        <v>2.015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75">
      <c r="A35" s="181">
        <f t="shared" si="0"/>
        <v>6</v>
      </c>
      <c r="B35" s="55">
        <v>0.906</v>
      </c>
      <c r="C35" s="55">
        <v>1.44</v>
      </c>
      <c r="D35" s="56">
        <v>1.943</v>
      </c>
      <c r="E35" s="9"/>
      <c r="F35" s="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>
      <c r="A36" s="181">
        <f t="shared" si="0"/>
        <v>7</v>
      </c>
      <c r="B36" s="55">
        <v>0.896</v>
      </c>
      <c r="C36" s="55">
        <v>1.415</v>
      </c>
      <c r="D36" s="56">
        <v>1.895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>
      <c r="A37" s="181">
        <f t="shared" si="0"/>
        <v>8</v>
      </c>
      <c r="B37" s="55">
        <v>0.889</v>
      </c>
      <c r="C37" s="55">
        <v>1.397</v>
      </c>
      <c r="D37" s="56">
        <v>1.86</v>
      </c>
      <c r="E37" s="9"/>
      <c r="F37" s="3" t="s">
        <v>525</v>
      </c>
      <c r="G37" s="9"/>
      <c r="H37" s="3" t="s">
        <v>529</v>
      </c>
      <c r="I37" s="9" t="s">
        <v>531</v>
      </c>
      <c r="J37" s="9" t="s">
        <v>530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75">
      <c r="A38" s="181">
        <f t="shared" si="0"/>
        <v>9</v>
      </c>
      <c r="B38" s="55">
        <v>0.883</v>
      </c>
      <c r="C38" s="55">
        <v>1.383</v>
      </c>
      <c r="D38" s="56">
        <v>1.838</v>
      </c>
      <c r="E38" s="9"/>
      <c r="F38" s="3" t="s">
        <v>526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75">
      <c r="A39" s="181">
        <f t="shared" si="0"/>
        <v>10</v>
      </c>
      <c r="B39" s="55">
        <v>0.879</v>
      </c>
      <c r="C39" s="55">
        <v>1.372</v>
      </c>
      <c r="D39" s="56">
        <v>1.812</v>
      </c>
      <c r="E39" s="9"/>
      <c r="F39" s="3" t="s">
        <v>527</v>
      </c>
      <c r="G39" s="9"/>
      <c r="H39" s="367">
        <v>1</v>
      </c>
      <c r="I39" s="431">
        <f>IF(DSP!E127=2,DSP!F185,"SIGA")</f>
        <v>66</v>
      </c>
      <c r="J39" s="291">
        <f>IF(DSP!E127=2,VLOOKUP(I39,tabla3,H40),"0")</f>
        <v>0.854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>
      <c r="A40" s="181">
        <f>+A39+5</f>
        <v>15</v>
      </c>
      <c r="B40" s="55">
        <v>0.866</v>
      </c>
      <c r="C40" s="55">
        <v>1.341</v>
      </c>
      <c r="D40" s="56">
        <v>1.753</v>
      </c>
      <c r="E40" s="9"/>
      <c r="F40" s="3" t="s">
        <v>528</v>
      </c>
      <c r="G40" s="9"/>
      <c r="H40" s="22">
        <f>+H39+1</f>
        <v>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75">
      <c r="A41" s="181">
        <f>+A40+5</f>
        <v>20</v>
      </c>
      <c r="B41" s="55">
        <v>0.86</v>
      </c>
      <c r="C41" s="55">
        <v>1.325</v>
      </c>
      <c r="D41" s="56">
        <v>1.725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75">
      <c r="A42" s="181">
        <f>+A41+5</f>
        <v>25</v>
      </c>
      <c r="B42" s="55">
        <v>0.856</v>
      </c>
      <c r="C42" s="55">
        <v>1.316</v>
      </c>
      <c r="D42" s="56">
        <v>1.708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75">
      <c r="A43" s="181">
        <f>+A42+5</f>
        <v>30</v>
      </c>
      <c r="B43" s="55">
        <v>0.854</v>
      </c>
      <c r="C43" s="55">
        <v>1.31</v>
      </c>
      <c r="D43" s="56">
        <v>1.697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3.5" thickBot="1">
      <c r="A44" s="182" t="s">
        <v>32</v>
      </c>
      <c r="B44" s="57">
        <v>0.842</v>
      </c>
      <c r="C44" s="57">
        <v>1.282</v>
      </c>
      <c r="D44" s="58">
        <v>1.645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10">
        <v>1</v>
      </c>
      <c r="B45" s="10">
        <v>2</v>
      </c>
      <c r="C45" s="10">
        <v>3</v>
      </c>
      <c r="D45" s="10">
        <v>4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.75">
      <c r="A46" s="9"/>
      <c r="B46" s="9"/>
      <c r="C46" s="9"/>
      <c r="D46" s="9" t="s">
        <v>119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3.5" thickBot="1">
      <c r="A47" s="9"/>
      <c r="B47" s="9"/>
      <c r="C47" s="9"/>
      <c r="D47" s="9"/>
      <c r="E47" s="9" t="s">
        <v>120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75">
      <c r="A48" s="9"/>
      <c r="B48" s="183" t="s">
        <v>33</v>
      </c>
      <c r="C48" s="882" t="s">
        <v>355</v>
      </c>
      <c r="D48" s="876"/>
      <c r="E48" s="876"/>
      <c r="F48" s="876"/>
      <c r="G48" s="876"/>
      <c r="H48" s="876"/>
      <c r="I48" s="876"/>
      <c r="J48" s="876"/>
      <c r="K48" s="87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75">
      <c r="A49" s="9"/>
      <c r="B49" s="181"/>
      <c r="C49" s="179">
        <v>10</v>
      </c>
      <c r="D49" s="179">
        <v>15</v>
      </c>
      <c r="E49" s="179">
        <v>20</v>
      </c>
      <c r="F49" s="179">
        <v>25</v>
      </c>
      <c r="G49" s="179">
        <v>30</v>
      </c>
      <c r="H49" s="179">
        <v>35</v>
      </c>
      <c r="I49" s="179">
        <v>40</v>
      </c>
      <c r="J49" s="179">
        <v>45</v>
      </c>
      <c r="K49" s="180">
        <v>50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75">
      <c r="A50" s="9"/>
      <c r="B50" s="184" t="s">
        <v>34</v>
      </c>
      <c r="C50" s="883" t="s">
        <v>340</v>
      </c>
      <c r="D50" s="884"/>
      <c r="E50" s="884"/>
      <c r="F50" s="884"/>
      <c r="G50" s="884"/>
      <c r="H50" s="884"/>
      <c r="I50" s="884"/>
      <c r="J50" s="884"/>
      <c r="K50" s="88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75">
      <c r="A51" s="9"/>
      <c r="B51" s="181">
        <v>140</v>
      </c>
      <c r="C51" s="55">
        <v>155</v>
      </c>
      <c r="D51" s="55">
        <v>160</v>
      </c>
      <c r="E51" s="55">
        <v>170</v>
      </c>
      <c r="F51" s="55">
        <v>175</v>
      </c>
      <c r="G51" s="55">
        <v>180</v>
      </c>
      <c r="H51" s="55">
        <v>185</v>
      </c>
      <c r="I51" s="55">
        <v>200</v>
      </c>
      <c r="J51" s="55">
        <v>210</v>
      </c>
      <c r="K51" s="56">
        <v>220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75">
      <c r="A52" s="9"/>
      <c r="B52" s="181">
        <v>175</v>
      </c>
      <c r="C52" s="55">
        <v>190</v>
      </c>
      <c r="D52" s="55">
        <v>195</v>
      </c>
      <c r="E52" s="55">
        <v>205</v>
      </c>
      <c r="F52" s="55">
        <v>210</v>
      </c>
      <c r="G52" s="55">
        <v>215</v>
      </c>
      <c r="H52" s="55">
        <v>220</v>
      </c>
      <c r="I52" s="55">
        <v>235</v>
      </c>
      <c r="J52" s="55">
        <v>245</v>
      </c>
      <c r="K52" s="56">
        <v>255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75">
      <c r="A53" s="9"/>
      <c r="B53" s="181">
        <v>210</v>
      </c>
      <c r="C53" s="55">
        <v>225</v>
      </c>
      <c r="D53" s="55">
        <v>230</v>
      </c>
      <c r="E53" s="55">
        <v>240</v>
      </c>
      <c r="F53" s="55">
        <v>245</v>
      </c>
      <c r="G53" s="55">
        <v>250</v>
      </c>
      <c r="H53" s="55">
        <v>255</v>
      </c>
      <c r="I53" s="55">
        <v>270</v>
      </c>
      <c r="J53" s="55">
        <v>280</v>
      </c>
      <c r="K53" s="56">
        <v>290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75">
      <c r="A54" s="9"/>
      <c r="B54" s="181">
        <v>245</v>
      </c>
      <c r="C54" s="55">
        <v>260</v>
      </c>
      <c r="D54" s="55">
        <v>265</v>
      </c>
      <c r="E54" s="55">
        <v>275</v>
      </c>
      <c r="F54" s="55">
        <v>280</v>
      </c>
      <c r="G54" s="55">
        <v>285</v>
      </c>
      <c r="H54" s="55">
        <v>290</v>
      </c>
      <c r="I54" s="55">
        <v>305</v>
      </c>
      <c r="J54" s="55">
        <v>315</v>
      </c>
      <c r="K54" s="56">
        <v>325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.75">
      <c r="A55" s="9"/>
      <c r="B55" s="181">
        <v>280</v>
      </c>
      <c r="C55" s="55">
        <v>295</v>
      </c>
      <c r="D55" s="55">
        <v>300</v>
      </c>
      <c r="E55" s="55">
        <v>310</v>
      </c>
      <c r="F55" s="55">
        <v>315</v>
      </c>
      <c r="G55" s="55">
        <v>320</v>
      </c>
      <c r="H55" s="55">
        <v>325</v>
      </c>
      <c r="I55" s="55">
        <v>340</v>
      </c>
      <c r="J55" s="55">
        <v>350</v>
      </c>
      <c r="K55" s="56">
        <v>360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3.5" thickBot="1">
      <c r="A56" s="9"/>
      <c r="B56" s="185">
        <v>350</v>
      </c>
      <c r="C56" s="57">
        <v>365</v>
      </c>
      <c r="D56" s="57">
        <v>370</v>
      </c>
      <c r="E56" s="57">
        <v>380</v>
      </c>
      <c r="F56" s="57">
        <v>385</v>
      </c>
      <c r="G56" s="57">
        <v>390</v>
      </c>
      <c r="H56" s="57">
        <v>395</v>
      </c>
      <c r="I56" s="57">
        <v>410</v>
      </c>
      <c r="J56" s="57">
        <v>420</v>
      </c>
      <c r="K56" s="58">
        <v>430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.75">
      <c r="A57" s="9"/>
      <c r="B57" s="50"/>
      <c r="C57" s="10"/>
      <c r="D57" s="10"/>
      <c r="E57" s="10"/>
      <c r="F57" s="10"/>
      <c r="G57" s="10"/>
      <c r="H57" s="10"/>
      <c r="I57" s="10"/>
      <c r="J57" s="10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.75">
      <c r="A58" s="9"/>
      <c r="B58" s="50"/>
      <c r="C58" s="10"/>
      <c r="D58" s="10"/>
      <c r="E58" s="10"/>
      <c r="F58" s="10"/>
      <c r="G58" s="50" t="s">
        <v>36</v>
      </c>
      <c r="H58" s="50" t="s">
        <v>317</v>
      </c>
      <c r="I58" s="886" t="s">
        <v>339</v>
      </c>
      <c r="J58" s="886"/>
      <c r="K58" s="1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75">
      <c r="A59" s="9"/>
      <c r="B59" s="50"/>
      <c r="C59" s="10"/>
      <c r="D59" s="10"/>
      <c r="E59" s="10"/>
      <c r="F59" s="10"/>
      <c r="G59" s="186">
        <f>+G20</f>
        <v>210</v>
      </c>
      <c r="H59" s="187">
        <f>+E14</f>
        <v>7.663160656674242</v>
      </c>
      <c r="I59" s="889">
        <f>IF(H59&lt;=15,G59+H59+5,IF(H59&lt;=35,(G59+H59+10),IF(H59&lt;=40,G59+H59+20,IF(H59&lt;=45,G59+H59+25,IF(H59&gt;=45,G59+H59+30,"FINAL")))))</f>
        <v>222.66316065667425</v>
      </c>
      <c r="J59" s="890"/>
      <c r="K59" s="10" t="s">
        <v>4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75">
      <c r="A60" s="9"/>
      <c r="B60" s="9"/>
      <c r="C60" s="9"/>
      <c r="D60" s="9" t="s">
        <v>121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3.5" thickBot="1">
      <c r="A61" s="9"/>
      <c r="B61" s="9"/>
      <c r="C61" s="9"/>
      <c r="D61" s="9"/>
      <c r="E61" s="9" t="s">
        <v>122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.75">
      <c r="A62" s="51"/>
      <c r="B62" s="857" t="s">
        <v>58</v>
      </c>
      <c r="C62" s="881"/>
      <c r="D62" s="881"/>
      <c r="E62" s="858"/>
      <c r="F62" s="849" t="s">
        <v>58</v>
      </c>
      <c r="G62" s="881"/>
      <c r="H62" s="881"/>
      <c r="I62" s="85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75">
      <c r="A63" s="53"/>
      <c r="B63" s="859" t="s">
        <v>59</v>
      </c>
      <c r="C63" s="894"/>
      <c r="D63" s="894"/>
      <c r="E63" s="856"/>
      <c r="F63" s="851" t="s">
        <v>60</v>
      </c>
      <c r="G63" s="894"/>
      <c r="H63" s="894"/>
      <c r="I63" s="85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75">
      <c r="A64" s="181" t="s">
        <v>49</v>
      </c>
      <c r="B64" s="838" t="s">
        <v>61</v>
      </c>
      <c r="C64" s="880"/>
      <c r="D64" s="880"/>
      <c r="E64" s="843"/>
      <c r="F64" s="841" t="s">
        <v>61</v>
      </c>
      <c r="G64" s="880"/>
      <c r="H64" s="880"/>
      <c r="I64" s="84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75">
      <c r="A65" s="54"/>
      <c r="B65" s="179">
        <v>100</v>
      </c>
      <c r="C65" s="179">
        <v>90</v>
      </c>
      <c r="D65" s="179">
        <v>80</v>
      </c>
      <c r="E65" s="179">
        <v>70</v>
      </c>
      <c r="F65" s="179">
        <v>100</v>
      </c>
      <c r="G65" s="179">
        <v>90</v>
      </c>
      <c r="H65" s="179">
        <v>80</v>
      </c>
      <c r="I65" s="180">
        <v>70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2.75">
      <c r="A66" s="181">
        <v>5</v>
      </c>
      <c r="B66" s="55">
        <v>107</v>
      </c>
      <c r="C66" s="188" t="s">
        <v>62</v>
      </c>
      <c r="D66" s="188" t="s">
        <v>62</v>
      </c>
      <c r="E66" s="188" t="s">
        <v>62</v>
      </c>
      <c r="F66" s="55">
        <v>113</v>
      </c>
      <c r="G66" s="55">
        <v>102</v>
      </c>
      <c r="H66" s="188" t="s">
        <v>62</v>
      </c>
      <c r="I66" s="189" t="s">
        <v>62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.75">
      <c r="A67" s="181">
        <v>10</v>
      </c>
      <c r="B67" s="55">
        <v>115</v>
      </c>
      <c r="C67" s="55">
        <v>103</v>
      </c>
      <c r="D67" s="188" t="s">
        <v>62</v>
      </c>
      <c r="E67" s="188" t="s">
        <v>62</v>
      </c>
      <c r="F67" s="55">
        <v>130</v>
      </c>
      <c r="G67" s="55">
        <v>117</v>
      </c>
      <c r="H67" s="55">
        <v>104</v>
      </c>
      <c r="I67" s="189" t="s">
        <v>62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.75">
      <c r="A68" s="181">
        <v>12</v>
      </c>
      <c r="B68" s="55">
        <v>118</v>
      </c>
      <c r="C68" s="55">
        <v>106</v>
      </c>
      <c r="D68" s="188" t="s">
        <v>62</v>
      </c>
      <c r="E68" s="188" t="s">
        <v>62</v>
      </c>
      <c r="F68" s="55">
        <v>139</v>
      </c>
      <c r="G68" s="55">
        <v>125</v>
      </c>
      <c r="H68" s="55">
        <v>111</v>
      </c>
      <c r="I68" s="189" t="s">
        <v>62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.75">
      <c r="A69" s="181">
        <v>15</v>
      </c>
      <c r="B69" s="55">
        <v>124</v>
      </c>
      <c r="C69" s="55">
        <v>111</v>
      </c>
      <c r="D69" s="55">
        <v>100</v>
      </c>
      <c r="E69" s="188" t="s">
        <v>62</v>
      </c>
      <c r="F69" s="55">
        <v>154</v>
      </c>
      <c r="G69" s="55">
        <v>139</v>
      </c>
      <c r="H69" s="55">
        <v>123</v>
      </c>
      <c r="I69" s="56">
        <v>108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75">
      <c r="A70" s="181">
        <v>18</v>
      </c>
      <c r="B70" s="55">
        <v>130</v>
      </c>
      <c r="C70" s="55">
        <v>117</v>
      </c>
      <c r="D70" s="55">
        <v>104</v>
      </c>
      <c r="E70" s="188" t="s">
        <v>62</v>
      </c>
      <c r="F70" s="55">
        <v>173</v>
      </c>
      <c r="G70" s="55">
        <v>155</v>
      </c>
      <c r="H70" s="55">
        <v>138</v>
      </c>
      <c r="I70" s="56">
        <v>121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2.75">
      <c r="A71" s="181">
        <v>20</v>
      </c>
      <c r="B71" s="55">
        <v>135</v>
      </c>
      <c r="C71" s="55">
        <v>121</v>
      </c>
      <c r="D71" s="55">
        <v>108</v>
      </c>
      <c r="E71" s="188" t="s">
        <v>62</v>
      </c>
      <c r="F71" s="55">
        <v>188</v>
      </c>
      <c r="G71" s="55">
        <v>169</v>
      </c>
      <c r="H71" s="55">
        <v>150</v>
      </c>
      <c r="I71" s="56">
        <v>131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3.5" thickBot="1">
      <c r="A72" s="185">
        <v>25</v>
      </c>
      <c r="B72" s="57">
        <v>147</v>
      </c>
      <c r="C72" s="57">
        <v>133</v>
      </c>
      <c r="D72" s="57">
        <v>118</v>
      </c>
      <c r="E72" s="57">
        <v>103</v>
      </c>
      <c r="F72" s="57">
        <v>241</v>
      </c>
      <c r="G72" s="57">
        <v>216</v>
      </c>
      <c r="H72" s="57">
        <v>192</v>
      </c>
      <c r="I72" s="58">
        <v>168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.75">
      <c r="A73" s="9"/>
      <c r="B73" s="9"/>
      <c r="C73" s="9"/>
      <c r="D73" s="10"/>
      <c r="E73" s="10"/>
      <c r="F73" s="10"/>
      <c r="G73" s="5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2.75">
      <c r="A74" s="9"/>
      <c r="B74" s="9"/>
      <c r="C74" s="9"/>
      <c r="D74" s="10"/>
      <c r="E74" s="10"/>
      <c r="F74" s="10"/>
      <c r="G74" s="5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2.75">
      <c r="A75" s="190"/>
      <c r="B75" s="191" t="s">
        <v>123</v>
      </c>
      <c r="C75" s="191"/>
      <c r="D75" s="191"/>
      <c r="E75" s="191"/>
      <c r="F75" s="10"/>
      <c r="G75" s="5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.75">
      <c r="A76" s="9"/>
      <c r="B76" s="9"/>
      <c r="C76" s="9"/>
      <c r="D76" s="10"/>
      <c r="E76" s="10"/>
      <c r="F76" s="10"/>
      <c r="G76" s="5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.75">
      <c r="A77" s="190">
        <v>1</v>
      </c>
      <c r="B77" s="173" t="s">
        <v>124</v>
      </c>
      <c r="C77" s="173"/>
      <c r="D77" s="173"/>
      <c r="E77" s="173"/>
      <c r="F77" s="173"/>
      <c r="G77" s="17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3.5" thickBot="1">
      <c r="A78" s="9"/>
      <c r="B78" s="9"/>
      <c r="C78" s="9"/>
      <c r="D78" s="10"/>
      <c r="E78" s="10" t="s">
        <v>125</v>
      </c>
      <c r="F78" s="10"/>
      <c r="G78" s="5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.75">
      <c r="A79" s="119" t="s">
        <v>126</v>
      </c>
      <c r="B79" s="891" t="s">
        <v>127</v>
      </c>
      <c r="C79" s="892"/>
      <c r="D79" s="892"/>
      <c r="E79" s="892"/>
      <c r="F79" s="892"/>
      <c r="G79" s="892"/>
      <c r="H79" s="892"/>
      <c r="I79" s="89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.75">
      <c r="A80" s="192" t="s">
        <v>128</v>
      </c>
      <c r="B80" s="887"/>
      <c r="C80" s="886"/>
      <c r="D80" s="886"/>
      <c r="E80" s="886"/>
      <c r="F80" s="886"/>
      <c r="G80" s="886"/>
      <c r="H80" s="886"/>
      <c r="I80" s="88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3.5" thickBot="1">
      <c r="A81" s="87" t="s">
        <v>129</v>
      </c>
      <c r="B81" s="194">
        <v>2</v>
      </c>
      <c r="C81" s="194" t="s">
        <v>130</v>
      </c>
      <c r="D81" s="194">
        <v>1</v>
      </c>
      <c r="E81" s="194" t="s">
        <v>131</v>
      </c>
      <c r="F81" s="194" t="s">
        <v>132</v>
      </c>
      <c r="G81" s="194" t="s">
        <v>133</v>
      </c>
      <c r="H81" s="194" t="s">
        <v>134</v>
      </c>
      <c r="I81" s="195" t="s">
        <v>135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.75">
      <c r="A82" s="196">
        <v>2</v>
      </c>
      <c r="B82" s="197" t="s">
        <v>136</v>
      </c>
      <c r="C82" s="198" t="s">
        <v>137</v>
      </c>
      <c r="D82" s="197" t="s">
        <v>138</v>
      </c>
      <c r="E82" s="198" t="s">
        <v>137</v>
      </c>
      <c r="F82" s="197" t="s">
        <v>139</v>
      </c>
      <c r="G82" s="198" t="s">
        <v>137</v>
      </c>
      <c r="H82" s="55">
        <v>0.5</v>
      </c>
      <c r="I82" s="198" t="s">
        <v>137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.75">
      <c r="A83" s="196" t="s">
        <v>140</v>
      </c>
      <c r="B83" s="197">
        <v>100</v>
      </c>
      <c r="C83" s="197" t="s">
        <v>136</v>
      </c>
      <c r="D83" s="198" t="s">
        <v>137</v>
      </c>
      <c r="E83" s="197" t="s">
        <v>138</v>
      </c>
      <c r="F83" s="198" t="s">
        <v>137</v>
      </c>
      <c r="G83" s="197" t="s">
        <v>139</v>
      </c>
      <c r="H83" s="55">
        <v>0.5</v>
      </c>
      <c r="I83" s="198" t="s">
        <v>137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.75">
      <c r="A84" s="196">
        <v>1</v>
      </c>
      <c r="B84" s="198" t="s">
        <v>137</v>
      </c>
      <c r="C84" s="197">
        <v>100</v>
      </c>
      <c r="D84" s="197" t="s">
        <v>136</v>
      </c>
      <c r="E84" s="198" t="s">
        <v>137</v>
      </c>
      <c r="F84" s="197" t="s">
        <v>141</v>
      </c>
      <c r="G84" s="198" t="s">
        <v>137</v>
      </c>
      <c r="H84" s="55">
        <v>0.1</v>
      </c>
      <c r="I84" s="55">
        <v>0.5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.75">
      <c r="A85" s="196" t="s">
        <v>131</v>
      </c>
      <c r="B85" s="198" t="s">
        <v>137</v>
      </c>
      <c r="C85" s="198" t="s">
        <v>137</v>
      </c>
      <c r="D85" s="197">
        <v>100</v>
      </c>
      <c r="E85" s="197" t="s">
        <v>142</v>
      </c>
      <c r="F85" s="198" t="s">
        <v>137</v>
      </c>
      <c r="G85" s="197" t="s">
        <v>143</v>
      </c>
      <c r="H85" s="55">
        <v>0.1</v>
      </c>
      <c r="I85" s="55">
        <v>0.5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.75">
      <c r="A86" s="196" t="s">
        <v>132</v>
      </c>
      <c r="B86" s="198" t="s">
        <v>137</v>
      </c>
      <c r="C86" s="198" t="s">
        <v>137</v>
      </c>
      <c r="D86" s="198" t="s">
        <v>137</v>
      </c>
      <c r="E86" s="197">
        <v>100</v>
      </c>
      <c r="F86" s="197" t="s">
        <v>142</v>
      </c>
      <c r="G86" s="197" t="s">
        <v>144</v>
      </c>
      <c r="H86" s="55">
        <v>0.15</v>
      </c>
      <c r="I86" s="55">
        <v>0.5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3.5" thickBot="1">
      <c r="A87" s="182" t="s">
        <v>133</v>
      </c>
      <c r="B87" s="199" t="s">
        <v>137</v>
      </c>
      <c r="C87" s="199" t="s">
        <v>137</v>
      </c>
      <c r="D87" s="199" t="s">
        <v>137</v>
      </c>
      <c r="E87" s="199" t="s">
        <v>137</v>
      </c>
      <c r="F87" s="199">
        <v>100</v>
      </c>
      <c r="G87" s="199" t="s">
        <v>145</v>
      </c>
      <c r="H87" s="199" t="s">
        <v>139</v>
      </c>
      <c r="I87" s="57">
        <v>0.1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.75">
      <c r="A88" s="9"/>
      <c r="B88" s="9"/>
      <c r="C88" s="9"/>
      <c r="D88" s="10"/>
      <c r="E88" s="10"/>
      <c r="F88" s="10"/>
      <c r="G88" s="5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2.75">
      <c r="A89" s="9"/>
      <c r="B89" s="9"/>
      <c r="C89" s="9"/>
      <c r="D89" s="10"/>
      <c r="E89" s="10"/>
      <c r="F89" s="10"/>
      <c r="G89" s="5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.75">
      <c r="A90" s="190">
        <v>2</v>
      </c>
      <c r="B90" s="173" t="s">
        <v>146</v>
      </c>
      <c r="C90" s="173"/>
      <c r="D90" s="173"/>
      <c r="E90" s="173"/>
      <c r="F90" s="173"/>
      <c r="G90" s="5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3.5" thickBot="1">
      <c r="A91" s="9"/>
      <c r="B91" s="9"/>
      <c r="C91" s="9"/>
      <c r="D91" s="174" t="s">
        <v>147</v>
      </c>
      <c r="E91" s="10"/>
      <c r="F91" s="10"/>
      <c r="G91" s="50"/>
      <c r="H91" s="9"/>
      <c r="I91" s="9"/>
      <c r="J91" s="9"/>
      <c r="K91" s="9" t="s">
        <v>412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75">
      <c r="A92" s="79"/>
      <c r="B92" s="80"/>
      <c r="C92" s="80"/>
      <c r="D92" s="52"/>
      <c r="E92" s="81"/>
      <c r="F92" s="882" t="s">
        <v>148</v>
      </c>
      <c r="G92" s="877"/>
      <c r="H92" s="9"/>
      <c r="I92" s="9"/>
      <c r="J92" s="9"/>
      <c r="K92" s="5" t="s">
        <v>389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75">
      <c r="A93" s="54" t="s">
        <v>51</v>
      </c>
      <c r="B93" s="82"/>
      <c r="C93" s="200" t="s">
        <v>149</v>
      </c>
      <c r="D93" s="200"/>
      <c r="E93" s="83"/>
      <c r="F93" s="201" t="s">
        <v>150</v>
      </c>
      <c r="G93" s="202" t="s">
        <v>151</v>
      </c>
      <c r="H93" s="9"/>
      <c r="I93" s="9"/>
      <c r="J93" s="9" t="s">
        <v>386</v>
      </c>
      <c r="K93" s="9" t="s">
        <v>113</v>
      </c>
      <c r="L93" s="9" t="s">
        <v>387</v>
      </c>
      <c r="M93" s="9"/>
      <c r="N93" s="9" t="s">
        <v>388</v>
      </c>
      <c r="O93" s="9"/>
      <c r="P93" s="31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2.75">
      <c r="A94" s="53">
        <v>1</v>
      </c>
      <c r="B94" s="84" t="s">
        <v>152</v>
      </c>
      <c r="C94" s="84"/>
      <c r="D94" s="84"/>
      <c r="E94" s="85"/>
      <c r="F94" s="203" t="s">
        <v>70</v>
      </c>
      <c r="G94" s="204" t="s">
        <v>67</v>
      </c>
      <c r="H94" s="9"/>
      <c r="I94" s="305">
        <v>1</v>
      </c>
      <c r="J94" s="305" t="s">
        <v>500</v>
      </c>
      <c r="K94" s="305" t="s">
        <v>682</v>
      </c>
      <c r="L94" s="308" t="s">
        <v>382</v>
      </c>
      <c r="M94" s="309"/>
      <c r="N94" s="308" t="s">
        <v>385</v>
      </c>
      <c r="O94" s="309"/>
      <c r="P94" s="291" t="s">
        <v>390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2.75">
      <c r="A95" s="53">
        <v>2</v>
      </c>
      <c r="B95" s="9" t="s">
        <v>153</v>
      </c>
      <c r="C95" s="9"/>
      <c r="D95" s="9"/>
      <c r="E95" s="86"/>
      <c r="F95" s="205">
        <v>3</v>
      </c>
      <c r="G95" s="204">
        <v>1</v>
      </c>
      <c r="H95" s="9"/>
      <c r="I95" s="306">
        <v>2</v>
      </c>
      <c r="J95" s="306" t="s">
        <v>380</v>
      </c>
      <c r="K95" s="306" t="s">
        <v>391</v>
      </c>
      <c r="L95" s="310" t="s">
        <v>384</v>
      </c>
      <c r="M95" s="311"/>
      <c r="N95" s="310" t="s">
        <v>411</v>
      </c>
      <c r="O95" s="311"/>
      <c r="P95" s="320">
        <v>2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2.75">
      <c r="A96" s="53">
        <v>3</v>
      </c>
      <c r="B96" s="9" t="s">
        <v>154</v>
      </c>
      <c r="C96" s="9"/>
      <c r="D96" s="10"/>
      <c r="E96" s="85"/>
      <c r="F96" s="205">
        <v>4</v>
      </c>
      <c r="G96" s="204" t="s">
        <v>165</v>
      </c>
      <c r="H96" s="9"/>
      <c r="I96" s="307">
        <v>3</v>
      </c>
      <c r="J96" s="307" t="s">
        <v>381</v>
      </c>
      <c r="K96" s="307" t="s">
        <v>392</v>
      </c>
      <c r="L96" s="312" t="s">
        <v>383</v>
      </c>
      <c r="M96" s="313"/>
      <c r="N96" s="312" t="s">
        <v>501</v>
      </c>
      <c r="O96" s="313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2.75">
      <c r="A97" s="53">
        <v>4</v>
      </c>
      <c r="B97" s="9" t="s">
        <v>155</v>
      </c>
      <c r="C97" s="9"/>
      <c r="D97" s="10"/>
      <c r="E97" s="85"/>
      <c r="F97" s="205">
        <v>4</v>
      </c>
      <c r="G97" s="204">
        <v>1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2.75">
      <c r="A98" s="53">
        <v>5</v>
      </c>
      <c r="B98" s="9" t="s">
        <v>156</v>
      </c>
      <c r="C98" s="9"/>
      <c r="D98" s="10"/>
      <c r="E98" s="85"/>
      <c r="F98" s="205">
        <v>3</v>
      </c>
      <c r="G98" s="204">
        <v>1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3.5" thickBot="1">
      <c r="A99" s="87">
        <v>6</v>
      </c>
      <c r="B99" s="88" t="s">
        <v>157</v>
      </c>
      <c r="C99" s="88"/>
      <c r="D99" s="88"/>
      <c r="E99" s="206"/>
      <c r="F99" s="207">
        <v>2</v>
      </c>
      <c r="G99" s="208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2.75">
      <c r="A100" s="10"/>
      <c r="B100" s="9"/>
      <c r="C100" s="9"/>
      <c r="D100" s="9"/>
      <c r="E100" s="9"/>
      <c r="F100" s="209"/>
      <c r="G100" s="20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2.75">
      <c r="A101" s="10"/>
      <c r="B101" s="9"/>
      <c r="C101" s="9"/>
      <c r="D101" s="9"/>
      <c r="E101" s="9"/>
      <c r="F101" s="209"/>
      <c r="G101" s="20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2.75">
      <c r="A102" s="190">
        <v>3</v>
      </c>
      <c r="B102" s="191" t="s">
        <v>158</v>
      </c>
      <c r="C102" s="191"/>
      <c r="D102" s="191"/>
      <c r="E102" s="191"/>
      <c r="F102" s="209"/>
      <c r="G102" s="20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2.75">
      <c r="A103" s="9"/>
      <c r="B103" s="9"/>
      <c r="C103" s="9"/>
      <c r="D103" s="9"/>
      <c r="E103" s="9"/>
      <c r="F103" s="210"/>
      <c r="G103" s="210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3.5" thickBot="1">
      <c r="A104" s="9"/>
      <c r="B104" s="9"/>
      <c r="C104" s="9"/>
      <c r="D104" s="9"/>
      <c r="E104" s="9" t="s">
        <v>159</v>
      </c>
      <c r="F104" s="9" t="s">
        <v>431</v>
      </c>
      <c r="G104" s="210"/>
      <c r="H104" s="210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160</v>
      </c>
      <c r="V104" s="9"/>
      <c r="W104" s="210"/>
      <c r="X104" s="210"/>
      <c r="Y104" s="9"/>
      <c r="Z104" s="9"/>
      <c r="AA104" s="9"/>
      <c r="AB104" s="9"/>
      <c r="AC104" s="9"/>
      <c r="AD104" s="9"/>
      <c r="AE104" s="9"/>
    </row>
    <row r="105" spans="1:31" ht="12.75">
      <c r="A105" s="9"/>
      <c r="B105" s="119"/>
      <c r="C105" s="891" t="s">
        <v>161</v>
      </c>
      <c r="D105" s="892"/>
      <c r="E105" s="892"/>
      <c r="F105" s="892"/>
      <c r="G105" s="892"/>
      <c r="H105" s="892"/>
      <c r="I105" s="892"/>
      <c r="J105" s="893"/>
      <c r="K105" s="9"/>
      <c r="L105" s="9"/>
      <c r="M105" s="9"/>
      <c r="N105" s="9"/>
      <c r="O105" s="9"/>
      <c r="P105" s="9"/>
      <c r="Q105" s="9"/>
      <c r="R105" s="119" t="s">
        <v>126</v>
      </c>
      <c r="S105" s="891" t="s">
        <v>162</v>
      </c>
      <c r="T105" s="892"/>
      <c r="U105" s="892"/>
      <c r="V105" s="892"/>
      <c r="W105" s="892"/>
      <c r="X105" s="893"/>
      <c r="Y105" s="9"/>
      <c r="Z105" s="9"/>
      <c r="AA105" s="9"/>
      <c r="AB105" s="9"/>
      <c r="AC105" s="9"/>
      <c r="AD105" s="9"/>
      <c r="AE105" s="9"/>
    </row>
    <row r="106" spans="1:31" ht="12.75">
      <c r="A106" s="9"/>
      <c r="B106" s="192" t="s">
        <v>148</v>
      </c>
      <c r="C106" s="887" t="s">
        <v>163</v>
      </c>
      <c r="D106" s="886"/>
      <c r="E106" s="886"/>
      <c r="F106" s="886"/>
      <c r="G106" s="886"/>
      <c r="H106" s="886"/>
      <c r="I106" s="886"/>
      <c r="J106" s="888"/>
      <c r="K106" s="9"/>
      <c r="L106" s="9"/>
      <c r="M106" s="9"/>
      <c r="N106" s="9"/>
      <c r="O106" s="9"/>
      <c r="P106" s="9"/>
      <c r="Q106" s="9"/>
      <c r="R106" s="192" t="s">
        <v>128</v>
      </c>
      <c r="S106" s="887" t="s">
        <v>164</v>
      </c>
      <c r="T106" s="886"/>
      <c r="U106" s="886"/>
      <c r="V106" s="886"/>
      <c r="W106" s="886"/>
      <c r="X106" s="888"/>
      <c r="Y106" s="9"/>
      <c r="Z106" s="9"/>
      <c r="AA106" s="9"/>
      <c r="AB106" s="9"/>
      <c r="AC106" s="9"/>
      <c r="AD106" s="9"/>
      <c r="AE106" s="9"/>
    </row>
    <row r="107" spans="1:31" ht="13.5" thickBot="1">
      <c r="A107" s="9"/>
      <c r="B107" s="87" t="s">
        <v>113</v>
      </c>
      <c r="C107" s="194" t="s">
        <v>64</v>
      </c>
      <c r="D107" s="194" t="s">
        <v>132</v>
      </c>
      <c r="E107" s="194" t="s">
        <v>131</v>
      </c>
      <c r="F107" s="194" t="s">
        <v>165</v>
      </c>
      <c r="G107" s="194" t="s">
        <v>166</v>
      </c>
      <c r="H107" s="194" t="s">
        <v>167</v>
      </c>
      <c r="I107" s="194" t="s">
        <v>168</v>
      </c>
      <c r="J107" s="195" t="s">
        <v>169</v>
      </c>
      <c r="K107" s="10" t="s">
        <v>513</v>
      </c>
      <c r="L107" s="9"/>
      <c r="M107" s="9"/>
      <c r="N107" s="9"/>
      <c r="O107" s="9"/>
      <c r="P107" s="9"/>
      <c r="Q107" s="9"/>
      <c r="R107" s="192" t="s">
        <v>129</v>
      </c>
      <c r="S107" s="883" t="s">
        <v>170</v>
      </c>
      <c r="T107" s="903"/>
      <c r="U107" s="904" t="s">
        <v>171</v>
      </c>
      <c r="V107" s="903"/>
      <c r="W107" s="904" t="s">
        <v>172</v>
      </c>
      <c r="X107" s="885"/>
      <c r="Y107" s="9"/>
      <c r="Z107" s="9"/>
      <c r="AA107" s="9"/>
      <c r="AB107" s="9"/>
      <c r="AC107" s="9"/>
      <c r="AD107" s="9"/>
      <c r="AE107" s="9"/>
    </row>
    <row r="108" spans="1:31" ht="13.5" thickBot="1">
      <c r="A108" s="9"/>
      <c r="B108" s="9"/>
      <c r="C108" s="9"/>
      <c r="D108" s="9"/>
      <c r="E108" s="164" t="s">
        <v>173</v>
      </c>
      <c r="F108" s="164"/>
      <c r="G108" s="164"/>
      <c r="H108" s="210"/>
      <c r="I108" s="9"/>
      <c r="J108" s="9"/>
      <c r="K108" s="10" t="s">
        <v>514</v>
      </c>
      <c r="L108" s="9"/>
      <c r="M108" s="9"/>
      <c r="N108" s="9"/>
      <c r="O108" s="9"/>
      <c r="P108" s="9"/>
      <c r="Q108" s="9"/>
      <c r="R108" s="192" t="s">
        <v>174</v>
      </c>
      <c r="S108" s="154" t="s">
        <v>174</v>
      </c>
      <c r="T108" s="10" t="s">
        <v>175</v>
      </c>
      <c r="U108" s="154" t="s">
        <v>174</v>
      </c>
      <c r="V108" s="10" t="s">
        <v>175</v>
      </c>
      <c r="W108" s="154" t="s">
        <v>174</v>
      </c>
      <c r="X108" s="118" t="s">
        <v>175</v>
      </c>
      <c r="Y108" s="9"/>
      <c r="Z108" s="9"/>
      <c r="AA108" s="9"/>
      <c r="AB108" s="9"/>
      <c r="AC108" s="9"/>
      <c r="AD108" s="9"/>
      <c r="AE108" s="9"/>
    </row>
    <row r="109" spans="1:31" ht="13.5" thickBot="1">
      <c r="A109" s="10">
        <v>1</v>
      </c>
      <c r="B109" s="211" t="s">
        <v>176</v>
      </c>
      <c r="C109" s="212">
        <v>207</v>
      </c>
      <c r="D109" s="212">
        <v>199</v>
      </c>
      <c r="E109" s="212">
        <v>190</v>
      </c>
      <c r="F109" s="212">
        <v>179</v>
      </c>
      <c r="G109" s="212">
        <v>166</v>
      </c>
      <c r="H109" s="212">
        <v>154</v>
      </c>
      <c r="I109" s="212">
        <v>130</v>
      </c>
      <c r="J109" s="213">
        <v>113</v>
      </c>
      <c r="K109" s="291"/>
      <c r="L109" s="291" t="s">
        <v>63</v>
      </c>
      <c r="M109" s="290" t="s">
        <v>424</v>
      </c>
      <c r="N109" s="9"/>
      <c r="O109" s="9"/>
      <c r="P109" s="9"/>
      <c r="Q109" s="9"/>
      <c r="R109" s="87" t="s">
        <v>177</v>
      </c>
      <c r="S109" s="214" t="s">
        <v>178</v>
      </c>
      <c r="T109" s="214" t="s">
        <v>179</v>
      </c>
      <c r="U109" s="214" t="s">
        <v>178</v>
      </c>
      <c r="V109" s="214" t="s">
        <v>179</v>
      </c>
      <c r="W109" s="214" t="s">
        <v>178</v>
      </c>
      <c r="X109" s="215" t="s">
        <v>179</v>
      </c>
      <c r="Y109" s="9"/>
      <c r="Z109" s="9"/>
      <c r="AA109" s="9"/>
      <c r="AB109" s="9"/>
      <c r="AC109" s="9"/>
      <c r="AD109" s="9"/>
      <c r="AE109" s="9"/>
    </row>
    <row r="110" spans="1:31" ht="12.75">
      <c r="A110" s="10">
        <v>2</v>
      </c>
      <c r="B110" s="196" t="s">
        <v>180</v>
      </c>
      <c r="C110" s="55">
        <v>228</v>
      </c>
      <c r="D110" s="55">
        <v>216</v>
      </c>
      <c r="E110" s="55">
        <v>205</v>
      </c>
      <c r="F110" s="55">
        <v>193</v>
      </c>
      <c r="G110" s="55">
        <v>181</v>
      </c>
      <c r="H110" s="55">
        <v>169</v>
      </c>
      <c r="I110" s="55">
        <v>145</v>
      </c>
      <c r="J110" s="56">
        <v>124</v>
      </c>
      <c r="K110" s="291" t="s">
        <v>113</v>
      </c>
      <c r="L110" s="291" t="s">
        <v>401</v>
      </c>
      <c r="M110" s="290" t="s">
        <v>425</v>
      </c>
      <c r="N110" s="9"/>
      <c r="O110" s="9"/>
      <c r="P110" s="9"/>
      <c r="Q110" s="9"/>
      <c r="R110" s="196" t="s">
        <v>64</v>
      </c>
      <c r="S110" s="55">
        <v>185</v>
      </c>
      <c r="T110" s="55">
        <v>212</v>
      </c>
      <c r="U110" s="55">
        <v>201</v>
      </c>
      <c r="V110" s="55">
        <v>227</v>
      </c>
      <c r="W110" s="55">
        <v>230</v>
      </c>
      <c r="X110" s="56">
        <v>250</v>
      </c>
      <c r="Y110" s="9"/>
      <c r="Z110" s="9"/>
      <c r="AA110" s="9"/>
      <c r="AB110" s="9"/>
      <c r="AC110" s="9"/>
      <c r="AD110" s="9"/>
      <c r="AE110" s="9"/>
    </row>
    <row r="111" spans="1:31" ht="12.75">
      <c r="A111" s="10">
        <v>3</v>
      </c>
      <c r="B111" s="196" t="s">
        <v>502</v>
      </c>
      <c r="C111" s="85">
        <v>243</v>
      </c>
      <c r="D111" s="85">
        <v>228</v>
      </c>
      <c r="E111" s="85">
        <v>216</v>
      </c>
      <c r="F111" s="85">
        <v>202</v>
      </c>
      <c r="G111" s="85">
        <v>190</v>
      </c>
      <c r="H111" s="85">
        <v>178</v>
      </c>
      <c r="I111" s="85">
        <v>160</v>
      </c>
      <c r="J111" s="216" t="s">
        <v>137</v>
      </c>
      <c r="K111" s="320">
        <f>+P95</f>
        <v>2</v>
      </c>
      <c r="L111" s="320">
        <f>+N126+2</f>
        <v>4</v>
      </c>
      <c r="M111" s="323">
        <f>IF(P128="ATRAPADO",VLOOKUP(K111,tabla14,$L$111),IF(P128="INCORPORADO",VLOOKUP(K111,tabla14b,$L$111)))</f>
        <v>216</v>
      </c>
      <c r="N111" s="9"/>
      <c r="O111" s="9"/>
      <c r="P111" s="9"/>
      <c r="Q111" s="9"/>
      <c r="R111" s="196" t="s">
        <v>132</v>
      </c>
      <c r="S111" s="55">
        <v>182</v>
      </c>
      <c r="T111" s="55">
        <v>201</v>
      </c>
      <c r="U111" s="55">
        <v>197</v>
      </c>
      <c r="V111" s="55">
        <v>216</v>
      </c>
      <c r="W111" s="55">
        <v>219</v>
      </c>
      <c r="X111" s="56">
        <v>238</v>
      </c>
      <c r="Y111" s="9"/>
      <c r="Z111" s="9"/>
      <c r="AA111" s="9"/>
      <c r="AB111" s="9"/>
      <c r="AC111" s="9"/>
      <c r="AD111" s="9"/>
      <c r="AE111" s="9"/>
    </row>
    <row r="112" spans="1:31" ht="13.5" thickBot="1">
      <c r="A112" s="10">
        <v>4</v>
      </c>
      <c r="B112" s="89" t="s">
        <v>181</v>
      </c>
      <c r="C112" s="91">
        <v>3</v>
      </c>
      <c r="D112" s="91">
        <v>2.5</v>
      </c>
      <c r="E112" s="91">
        <v>2</v>
      </c>
      <c r="F112" s="91">
        <v>1.5</v>
      </c>
      <c r="G112" s="91">
        <v>1</v>
      </c>
      <c r="H112" s="91">
        <v>0.5</v>
      </c>
      <c r="I112" s="91">
        <v>0.3</v>
      </c>
      <c r="J112" s="217">
        <v>0.2</v>
      </c>
      <c r="K112" s="9" t="s">
        <v>377</v>
      </c>
      <c r="L112" s="9"/>
      <c r="M112" s="9"/>
      <c r="N112" s="9"/>
      <c r="O112" s="9"/>
      <c r="P112" s="9"/>
      <c r="Q112" s="9"/>
      <c r="R112" s="196" t="s">
        <v>131</v>
      </c>
      <c r="S112" s="55">
        <v>170</v>
      </c>
      <c r="T112" s="55">
        <v>189</v>
      </c>
      <c r="U112" s="55">
        <v>185</v>
      </c>
      <c r="V112" s="55">
        <v>204</v>
      </c>
      <c r="W112" s="55">
        <v>208</v>
      </c>
      <c r="X112" s="56">
        <v>227</v>
      </c>
      <c r="Y112" s="9"/>
      <c r="Z112" s="9"/>
      <c r="AA112" s="9"/>
      <c r="AB112" s="9"/>
      <c r="AC112" s="9"/>
      <c r="AD112" s="9"/>
      <c r="AE112" s="9"/>
    </row>
    <row r="113" spans="1:31" ht="12.75">
      <c r="A113" s="10"/>
      <c r="B113" s="9"/>
      <c r="C113" s="9"/>
      <c r="D113" s="9"/>
      <c r="E113" s="9"/>
      <c r="F113" s="210"/>
      <c r="G113" s="21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181">
        <v>1</v>
      </c>
      <c r="S113" s="55">
        <v>163</v>
      </c>
      <c r="T113" s="55">
        <v>182</v>
      </c>
      <c r="U113" s="55">
        <v>178</v>
      </c>
      <c r="V113" s="55">
        <v>197</v>
      </c>
      <c r="W113" s="55">
        <v>197</v>
      </c>
      <c r="X113" s="56">
        <v>216</v>
      </c>
      <c r="Y113" s="9"/>
      <c r="Z113" s="9"/>
      <c r="AA113" s="9"/>
      <c r="AB113" s="9"/>
      <c r="AC113" s="9"/>
      <c r="AD113" s="9"/>
      <c r="AE113" s="9"/>
    </row>
    <row r="114" spans="1:31" ht="13.5" thickBot="1">
      <c r="A114" s="10"/>
      <c r="B114" s="9"/>
      <c r="C114" s="9"/>
      <c r="D114" s="9"/>
      <c r="E114" s="164" t="s">
        <v>182</v>
      </c>
      <c r="F114" s="164"/>
      <c r="G114" s="164"/>
      <c r="H114" s="210"/>
      <c r="I114" s="9"/>
      <c r="J114" s="9"/>
      <c r="K114" s="9"/>
      <c r="L114" s="9"/>
      <c r="M114" s="9"/>
      <c r="N114" s="9"/>
      <c r="O114" s="9"/>
      <c r="P114" s="9"/>
      <c r="Q114" s="9"/>
      <c r="R114" s="196" t="s">
        <v>140</v>
      </c>
      <c r="S114" s="55">
        <v>155</v>
      </c>
      <c r="T114" s="55">
        <v>170</v>
      </c>
      <c r="U114" s="55">
        <v>170</v>
      </c>
      <c r="V114" s="55">
        <v>185</v>
      </c>
      <c r="W114" s="55">
        <v>185</v>
      </c>
      <c r="X114" s="56">
        <v>204</v>
      </c>
      <c r="Y114" s="9"/>
      <c r="Z114" s="9"/>
      <c r="AA114" s="9"/>
      <c r="AB114" s="9"/>
      <c r="AC114" s="9"/>
      <c r="AD114" s="9"/>
      <c r="AE114" s="9"/>
    </row>
    <row r="115" spans="1:31" ht="12.75">
      <c r="A115" s="10">
        <v>1</v>
      </c>
      <c r="B115" s="342" t="s">
        <v>176</v>
      </c>
      <c r="C115" s="212">
        <v>181</v>
      </c>
      <c r="D115" s="212">
        <v>175</v>
      </c>
      <c r="E115" s="212">
        <v>168</v>
      </c>
      <c r="F115" s="212">
        <v>160</v>
      </c>
      <c r="G115" s="212">
        <v>150</v>
      </c>
      <c r="H115" s="212">
        <v>142</v>
      </c>
      <c r="I115" s="212">
        <v>122</v>
      </c>
      <c r="J115" s="213">
        <v>107</v>
      </c>
      <c r="K115" s="9"/>
      <c r="L115" s="9"/>
      <c r="M115" s="9"/>
      <c r="N115" s="9"/>
      <c r="O115" s="9"/>
      <c r="P115" s="9"/>
      <c r="Q115" s="9"/>
      <c r="R115" s="181">
        <v>2</v>
      </c>
      <c r="S115" s="85">
        <v>148</v>
      </c>
      <c r="T115" s="85">
        <v>163</v>
      </c>
      <c r="U115" s="85">
        <v>163</v>
      </c>
      <c r="V115" s="85">
        <v>178</v>
      </c>
      <c r="W115" s="85">
        <v>178</v>
      </c>
      <c r="X115" s="118">
        <v>197</v>
      </c>
      <c r="Y115" s="9"/>
      <c r="Z115" s="9"/>
      <c r="AA115" s="9"/>
      <c r="AB115" s="9"/>
      <c r="AC115" s="9"/>
      <c r="AD115" s="9"/>
      <c r="AE115" s="9"/>
    </row>
    <row r="116" spans="1:31" ht="13.5" thickBot="1">
      <c r="A116" s="10">
        <v>2</v>
      </c>
      <c r="B116" s="343" t="s">
        <v>180</v>
      </c>
      <c r="C116" s="55">
        <v>202</v>
      </c>
      <c r="D116" s="55">
        <v>193</v>
      </c>
      <c r="E116" s="55">
        <v>184</v>
      </c>
      <c r="F116" s="55">
        <v>175</v>
      </c>
      <c r="G116" s="55">
        <v>165</v>
      </c>
      <c r="H116" s="55">
        <v>157</v>
      </c>
      <c r="I116" s="55">
        <v>133</v>
      </c>
      <c r="J116" s="56">
        <v>119</v>
      </c>
      <c r="K116" s="9"/>
      <c r="L116" s="9"/>
      <c r="M116" s="9"/>
      <c r="N116" s="9"/>
      <c r="O116" s="9"/>
      <c r="P116" s="9"/>
      <c r="Q116" s="9"/>
      <c r="R116" s="185">
        <v>3</v>
      </c>
      <c r="S116" s="218">
        <v>136</v>
      </c>
      <c r="T116" s="218">
        <v>151</v>
      </c>
      <c r="U116" s="218">
        <v>151</v>
      </c>
      <c r="V116" s="218">
        <v>167</v>
      </c>
      <c r="W116" s="218">
        <v>163</v>
      </c>
      <c r="X116" s="219">
        <v>182</v>
      </c>
      <c r="Y116" s="9"/>
      <c r="Z116" s="9"/>
      <c r="AA116" s="9"/>
      <c r="AB116" s="9"/>
      <c r="AC116" s="9"/>
      <c r="AD116" s="9"/>
      <c r="AE116" s="9"/>
    </row>
    <row r="117" spans="1:31" ht="12.75">
      <c r="A117" s="10">
        <v>3</v>
      </c>
      <c r="B117" s="344" t="s">
        <v>502</v>
      </c>
      <c r="C117" s="83">
        <v>216</v>
      </c>
      <c r="D117" s="83">
        <v>205</v>
      </c>
      <c r="E117" s="83">
        <v>197</v>
      </c>
      <c r="F117" s="83">
        <v>184</v>
      </c>
      <c r="G117" s="83">
        <v>174</v>
      </c>
      <c r="H117" s="83">
        <v>166</v>
      </c>
      <c r="I117" s="83">
        <v>154</v>
      </c>
      <c r="J117" s="220" t="s">
        <v>137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3.5" thickBot="1">
      <c r="A118" s="10">
        <v>4</v>
      </c>
      <c r="B118" s="345" t="s">
        <v>183</v>
      </c>
      <c r="C118" s="91">
        <v>8</v>
      </c>
      <c r="D118" s="91">
        <v>7</v>
      </c>
      <c r="E118" s="91">
        <v>6</v>
      </c>
      <c r="F118" s="91">
        <v>5</v>
      </c>
      <c r="G118" s="91">
        <v>4.5</v>
      </c>
      <c r="H118" s="91">
        <v>4</v>
      </c>
      <c r="I118" s="91">
        <v>3.5</v>
      </c>
      <c r="J118" s="217">
        <v>3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2.75">
      <c r="A119" s="9">
        <v>1</v>
      </c>
      <c r="B119" s="10">
        <f>+A119+1</f>
        <v>2</v>
      </c>
      <c r="C119" s="10">
        <f aca="true" t="shared" si="1" ref="C119:J119">+B119+1</f>
        <v>3</v>
      </c>
      <c r="D119" s="10">
        <f t="shared" si="1"/>
        <v>4</v>
      </c>
      <c r="E119" s="10">
        <f t="shared" si="1"/>
        <v>5</v>
      </c>
      <c r="F119" s="10">
        <f t="shared" si="1"/>
        <v>6</v>
      </c>
      <c r="G119" s="10">
        <f t="shared" si="1"/>
        <v>7</v>
      </c>
      <c r="H119" s="10">
        <f t="shared" si="1"/>
        <v>8</v>
      </c>
      <c r="I119" s="10">
        <f t="shared" si="1"/>
        <v>9</v>
      </c>
      <c r="J119" s="10">
        <f t="shared" si="1"/>
        <v>10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2.75">
      <c r="A120" s="9"/>
      <c r="B120" s="9"/>
      <c r="C120" s="9"/>
      <c r="D120" s="9"/>
      <c r="E120" s="9"/>
      <c r="F120" s="210"/>
      <c r="G120" s="21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2.75">
      <c r="A121" s="222"/>
      <c r="B121" s="209"/>
      <c r="C121" s="209"/>
      <c r="D121" s="209"/>
      <c r="E121" s="209"/>
      <c r="F121" s="209"/>
      <c r="G121" s="20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2.75">
      <c r="A122" s="190">
        <v>4</v>
      </c>
      <c r="B122" s="191" t="s">
        <v>184</v>
      </c>
      <c r="C122" s="191"/>
      <c r="D122" s="191"/>
      <c r="E122" s="191"/>
      <c r="F122" s="191"/>
      <c r="G122" s="191"/>
      <c r="H122" s="9"/>
      <c r="I122" s="9"/>
      <c r="J122" s="9"/>
      <c r="K122" s="9"/>
      <c r="L122" s="164" t="s">
        <v>410</v>
      </c>
      <c r="M122" s="164"/>
      <c r="N122" s="164"/>
      <c r="O122" s="9"/>
      <c r="P122" s="9"/>
      <c r="Q122" s="50" t="s">
        <v>2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3.5" thickBot="1">
      <c r="A123" s="9"/>
      <c r="B123" s="9"/>
      <c r="C123" s="9"/>
      <c r="D123" s="9"/>
      <c r="E123" s="9"/>
      <c r="F123" s="210"/>
      <c r="G123" s="210"/>
      <c r="H123" s="9"/>
      <c r="I123" s="9"/>
      <c r="J123" s="9"/>
      <c r="K123" s="9"/>
      <c r="L123" s="164" t="s">
        <v>409</v>
      </c>
      <c r="M123" s="164"/>
      <c r="N123" s="50"/>
      <c r="O123" s="9"/>
      <c r="P123" s="9"/>
      <c r="Q123" s="50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2.75">
      <c r="A124" s="9"/>
      <c r="B124" s="223" t="s">
        <v>185</v>
      </c>
      <c r="C124" s="223"/>
      <c r="D124" s="223"/>
      <c r="E124" s="164" t="s">
        <v>186</v>
      </c>
      <c r="F124" s="164"/>
      <c r="G124" s="164"/>
      <c r="H124" s="9"/>
      <c r="I124" s="9"/>
      <c r="J124" s="94"/>
      <c r="K124" s="80"/>
      <c r="L124" s="80"/>
      <c r="M124" s="251"/>
      <c r="N124" s="52" t="s">
        <v>63</v>
      </c>
      <c r="O124" s="52" t="s">
        <v>422</v>
      </c>
      <c r="P124" s="52" t="s">
        <v>422</v>
      </c>
      <c r="Q124" s="165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3.5" thickBot="1">
      <c r="A125" s="9"/>
      <c r="B125" s="209" t="s">
        <v>187</v>
      </c>
      <c r="C125" s="9"/>
      <c r="D125" s="9"/>
      <c r="E125" s="9"/>
      <c r="F125" s="9" t="s">
        <v>188</v>
      </c>
      <c r="G125" s="9"/>
      <c r="H125" s="9"/>
      <c r="I125" s="9"/>
      <c r="J125" s="96"/>
      <c r="K125" s="116" t="s">
        <v>393</v>
      </c>
      <c r="L125" s="116"/>
      <c r="M125" s="93"/>
      <c r="N125" s="170" t="s">
        <v>401</v>
      </c>
      <c r="O125" s="170" t="s">
        <v>423</v>
      </c>
      <c r="P125" s="170" t="s">
        <v>426</v>
      </c>
      <c r="Q125" s="117"/>
      <c r="R125" s="9"/>
      <c r="S125" s="10" t="s">
        <v>503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2.75">
      <c r="A126" s="9"/>
      <c r="B126" s="51" t="s">
        <v>126</v>
      </c>
      <c r="C126" s="120" t="s">
        <v>189</v>
      </c>
      <c r="D126" s="9"/>
      <c r="E126" s="119" t="s">
        <v>126</v>
      </c>
      <c r="F126" s="896" t="s">
        <v>190</v>
      </c>
      <c r="G126" s="897"/>
      <c r="H126" s="898"/>
      <c r="I126" s="9"/>
      <c r="J126" s="318" t="s">
        <v>394</v>
      </c>
      <c r="K126" s="116"/>
      <c r="L126" s="116"/>
      <c r="M126" s="93"/>
      <c r="N126" s="322">
        <v>2</v>
      </c>
      <c r="O126" s="322">
        <v>1</v>
      </c>
      <c r="P126" s="170">
        <f>+O126+2</f>
        <v>3</v>
      </c>
      <c r="Q126" s="117"/>
      <c r="R126" s="9"/>
      <c r="S126" s="291" t="s">
        <v>512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2.75">
      <c r="A127" s="9"/>
      <c r="B127" s="53" t="s">
        <v>128</v>
      </c>
      <c r="C127" s="118"/>
      <c r="D127" s="9"/>
      <c r="E127" s="53" t="s">
        <v>128</v>
      </c>
      <c r="F127" s="85" t="s">
        <v>191</v>
      </c>
      <c r="G127" s="85" t="s">
        <v>191</v>
      </c>
      <c r="H127" s="118" t="s">
        <v>191</v>
      </c>
      <c r="I127" s="9"/>
      <c r="J127" s="318" t="s">
        <v>395</v>
      </c>
      <c r="K127" s="116"/>
      <c r="L127" s="116"/>
      <c r="M127" s="93"/>
      <c r="N127" s="323" t="str">
        <f>VLOOKUP(N126,tabla20,2)</f>
        <v>1/2"</v>
      </c>
      <c r="O127" s="109"/>
      <c r="P127" s="171" t="s">
        <v>407</v>
      </c>
      <c r="Q127" s="171" t="s">
        <v>407</v>
      </c>
      <c r="R127" s="9"/>
      <c r="S127" s="9" t="s">
        <v>406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2.75">
      <c r="A128" s="296" t="s">
        <v>390</v>
      </c>
      <c r="B128" s="83" t="s">
        <v>129</v>
      </c>
      <c r="C128" s="224" t="s">
        <v>192</v>
      </c>
      <c r="D128" s="9"/>
      <c r="E128" s="54" t="s">
        <v>129</v>
      </c>
      <c r="F128" s="83" t="s">
        <v>534</v>
      </c>
      <c r="G128" s="83" t="s">
        <v>193</v>
      </c>
      <c r="H128" s="224" t="s">
        <v>194</v>
      </c>
      <c r="I128" s="9"/>
      <c r="J128" s="96"/>
      <c r="K128" s="116"/>
      <c r="L128" s="116"/>
      <c r="M128" s="93"/>
      <c r="N128" s="109"/>
      <c r="O128" s="127"/>
      <c r="P128" s="171" t="str">
        <f>IF(OR(O126=1,O126=2),"ATRAPADO",IF(O126=3,"INCORPORADO"))</f>
        <v>ATRAPADO</v>
      </c>
      <c r="Q128" s="171" t="str">
        <f>IF(O126=1,"DE OBRA",IF(O126=2,"MODERADO",IF(O126=3,"ESPECIALES")))</f>
        <v>DE OBRA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2.75">
      <c r="A129" s="300">
        <v>1</v>
      </c>
      <c r="B129" s="314" t="s">
        <v>64</v>
      </c>
      <c r="C129" s="225">
        <v>0.03</v>
      </c>
      <c r="D129" s="9">
        <v>1</v>
      </c>
      <c r="E129" s="317" t="s">
        <v>64</v>
      </c>
      <c r="F129" s="226">
        <v>0.03</v>
      </c>
      <c r="G129" s="226">
        <v>0.06</v>
      </c>
      <c r="H129" s="225">
        <v>0.075</v>
      </c>
      <c r="I129" s="9"/>
      <c r="J129" s="96" t="s">
        <v>400</v>
      </c>
      <c r="K129" s="116"/>
      <c r="L129" s="116"/>
      <c r="M129" s="93"/>
      <c r="N129" s="109"/>
      <c r="O129" s="127"/>
      <c r="P129" s="321">
        <f>IF(O126=1,VLOOKUP(N126,tabla20,3),VLOOKUP(N126,tabla20,P126))</f>
        <v>0.025</v>
      </c>
      <c r="Q129" s="117"/>
      <c r="R129" s="9"/>
      <c r="S129" s="9" t="s">
        <v>408</v>
      </c>
      <c r="T129" s="9" t="s">
        <v>535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2.75">
      <c r="A130" s="300">
        <f>+A129+1</f>
        <v>2</v>
      </c>
      <c r="B130" s="314" t="s">
        <v>65</v>
      </c>
      <c r="C130" s="225">
        <v>0.025</v>
      </c>
      <c r="D130" s="9">
        <f>+D129+1</f>
        <v>2</v>
      </c>
      <c r="E130" s="196" t="s">
        <v>65</v>
      </c>
      <c r="F130" s="226">
        <v>0.025</v>
      </c>
      <c r="G130" s="226">
        <v>0.055</v>
      </c>
      <c r="H130" s="225">
        <v>0.07</v>
      </c>
      <c r="I130" s="9"/>
      <c r="J130" s="96" t="s">
        <v>402</v>
      </c>
      <c r="K130" s="116"/>
      <c r="L130" s="116"/>
      <c r="M130" s="93"/>
      <c r="N130" s="109"/>
      <c r="O130" s="127"/>
      <c r="P130" s="109"/>
      <c r="Q130" s="117"/>
      <c r="R130" s="9"/>
      <c r="S130" s="9" t="s">
        <v>499</v>
      </c>
      <c r="T130" s="9" t="s">
        <v>511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2.75">
      <c r="A131" s="300">
        <f aca="true" t="shared" si="2" ref="A131:A136">+A130+1</f>
        <v>3</v>
      </c>
      <c r="B131" s="314" t="s">
        <v>66</v>
      </c>
      <c r="C131" s="225">
        <v>0.02</v>
      </c>
      <c r="D131" s="9">
        <f aca="true" t="shared" si="3" ref="D131:D136">+D130+1</f>
        <v>3</v>
      </c>
      <c r="E131" s="196" t="s">
        <v>66</v>
      </c>
      <c r="F131" s="226">
        <v>0.02</v>
      </c>
      <c r="G131" s="226">
        <v>0.05</v>
      </c>
      <c r="H131" s="225">
        <v>0.06</v>
      </c>
      <c r="I131" s="9"/>
      <c r="J131" s="96" t="s">
        <v>404</v>
      </c>
      <c r="K131" s="116"/>
      <c r="L131" s="116"/>
      <c r="M131" s="93"/>
      <c r="N131" s="159" t="s">
        <v>665</v>
      </c>
      <c r="O131" s="304"/>
      <c r="P131" s="109"/>
      <c r="Q131" s="117"/>
      <c r="R131" s="9"/>
      <c r="S131" s="9" t="s">
        <v>498</v>
      </c>
      <c r="T131" s="9" t="s">
        <v>504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2.75">
      <c r="A132" s="300">
        <f t="shared" si="2"/>
        <v>4</v>
      </c>
      <c r="B132" s="315" t="s">
        <v>67</v>
      </c>
      <c r="C132" s="225">
        <v>0.015</v>
      </c>
      <c r="D132" s="9">
        <f t="shared" si="3"/>
        <v>4</v>
      </c>
      <c r="E132" s="181" t="s">
        <v>67</v>
      </c>
      <c r="F132" s="226">
        <v>0.015</v>
      </c>
      <c r="G132" s="226">
        <v>0.045</v>
      </c>
      <c r="H132" s="225">
        <v>0.06</v>
      </c>
      <c r="I132" s="9"/>
      <c r="J132" s="96" t="s">
        <v>403</v>
      </c>
      <c r="K132" s="116"/>
      <c r="L132" s="116"/>
      <c r="M132" s="93"/>
      <c r="N132" s="154" t="s">
        <v>668</v>
      </c>
      <c r="O132" s="479">
        <v>2</v>
      </c>
      <c r="P132" s="116"/>
      <c r="Q132" s="117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2.75">
      <c r="A133" s="300">
        <f t="shared" si="2"/>
        <v>5</v>
      </c>
      <c r="B133" s="314" t="s">
        <v>68</v>
      </c>
      <c r="C133" s="225">
        <v>0.01</v>
      </c>
      <c r="D133" s="9">
        <f t="shared" si="3"/>
        <v>5</v>
      </c>
      <c r="E133" s="196" t="s">
        <v>68</v>
      </c>
      <c r="F133" s="226">
        <v>0.01</v>
      </c>
      <c r="G133" s="226">
        <v>0.045</v>
      </c>
      <c r="H133" s="225">
        <v>0.055</v>
      </c>
      <c r="I133" s="9"/>
      <c r="J133" s="96" t="s">
        <v>396</v>
      </c>
      <c r="K133" s="116"/>
      <c r="L133" s="116"/>
      <c r="M133" s="93"/>
      <c r="N133" s="155" t="s">
        <v>666</v>
      </c>
      <c r="O133" s="480">
        <v>2</v>
      </c>
      <c r="P133" s="116"/>
      <c r="Q133" s="117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2.75">
      <c r="A134" s="300">
        <f t="shared" si="2"/>
        <v>6</v>
      </c>
      <c r="B134" s="315" t="s">
        <v>69</v>
      </c>
      <c r="C134" s="225">
        <v>0.005</v>
      </c>
      <c r="D134" s="9">
        <f t="shared" si="3"/>
        <v>6</v>
      </c>
      <c r="E134" s="181" t="s">
        <v>69</v>
      </c>
      <c r="F134" s="226">
        <v>0.005</v>
      </c>
      <c r="G134" s="226">
        <v>0.04</v>
      </c>
      <c r="H134" s="225">
        <v>0.05</v>
      </c>
      <c r="I134" s="9"/>
      <c r="J134" s="96" t="s">
        <v>399</v>
      </c>
      <c r="K134" s="116"/>
      <c r="L134" s="116"/>
      <c r="M134" s="93"/>
      <c r="N134" s="399" t="s">
        <v>683</v>
      </c>
      <c r="O134" s="478"/>
      <c r="P134" s="116"/>
      <c r="Q134" s="117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2.75">
      <c r="A135" s="300">
        <f t="shared" si="2"/>
        <v>7</v>
      </c>
      <c r="B135" s="314" t="s">
        <v>70</v>
      </c>
      <c r="C135" s="225">
        <v>0.003</v>
      </c>
      <c r="D135" s="9">
        <f t="shared" si="3"/>
        <v>7</v>
      </c>
      <c r="E135" s="196" t="s">
        <v>70</v>
      </c>
      <c r="F135" s="226">
        <v>0.003</v>
      </c>
      <c r="G135" s="226">
        <v>0.035</v>
      </c>
      <c r="H135" s="225">
        <v>0.045</v>
      </c>
      <c r="I135" s="9"/>
      <c r="J135" s="96" t="s">
        <v>397</v>
      </c>
      <c r="K135" s="116"/>
      <c r="L135" s="116"/>
      <c r="M135" s="93">
        <v>1</v>
      </c>
      <c r="N135" s="232" t="s">
        <v>685</v>
      </c>
      <c r="O135" s="479">
        <v>2</v>
      </c>
      <c r="P135" s="116"/>
      <c r="Q135" s="117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3.5" thickBot="1">
      <c r="A136" s="295">
        <f t="shared" si="2"/>
        <v>8</v>
      </c>
      <c r="B136" s="316" t="s">
        <v>169</v>
      </c>
      <c r="C136" s="227">
        <v>0.002</v>
      </c>
      <c r="D136" s="9">
        <f t="shared" si="3"/>
        <v>8</v>
      </c>
      <c r="E136" s="182" t="s">
        <v>169</v>
      </c>
      <c r="F136" s="228">
        <v>0.002</v>
      </c>
      <c r="G136" s="228">
        <v>0.03</v>
      </c>
      <c r="H136" s="227">
        <v>0.04</v>
      </c>
      <c r="I136" s="9"/>
      <c r="J136" s="95" t="s">
        <v>398</v>
      </c>
      <c r="K136" s="88"/>
      <c r="L136" s="88"/>
      <c r="M136" s="206">
        <v>2</v>
      </c>
      <c r="N136" s="177" t="s">
        <v>664</v>
      </c>
      <c r="O136" s="160"/>
      <c r="P136" s="88"/>
      <c r="Q136" s="172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2.75">
      <c r="A137" s="124">
        <v>1</v>
      </c>
      <c r="B137" s="124">
        <v>2</v>
      </c>
      <c r="C137" s="124">
        <v>3</v>
      </c>
      <c r="D137" s="256">
        <v>1</v>
      </c>
      <c r="E137" s="124">
        <f>+D137+1</f>
        <v>2</v>
      </c>
      <c r="F137" s="124">
        <f>+E137+1</f>
        <v>3</v>
      </c>
      <c r="G137" s="124">
        <f>+F137+1</f>
        <v>4</v>
      </c>
      <c r="H137" s="124">
        <f>+G137+1</f>
        <v>5</v>
      </c>
      <c r="I137" s="124"/>
      <c r="J137" s="124"/>
      <c r="K137" s="124"/>
      <c r="L137" s="124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2.75">
      <c r="A138" s="9"/>
      <c r="B138" s="9"/>
      <c r="C138" s="9"/>
      <c r="D138" s="9"/>
      <c r="E138" s="9"/>
      <c r="F138" s="210"/>
      <c r="G138" s="21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2.75">
      <c r="A139" s="9"/>
      <c r="B139" s="9"/>
      <c r="C139" s="9"/>
      <c r="D139" s="9"/>
      <c r="E139" s="9"/>
      <c r="F139" s="210"/>
      <c r="G139" s="21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2.75">
      <c r="A140" s="190">
        <v>5</v>
      </c>
      <c r="B140" s="191" t="s">
        <v>195</v>
      </c>
      <c r="C140" s="191"/>
      <c r="D140" s="191"/>
      <c r="E140" s="191"/>
      <c r="F140" s="191"/>
      <c r="G140" s="21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2.75">
      <c r="A141" s="190"/>
      <c r="B141" s="191"/>
      <c r="C141" s="9"/>
      <c r="D141" s="9"/>
      <c r="E141" s="9"/>
      <c r="F141" s="210"/>
      <c r="G141" s="21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2.75">
      <c r="A142" s="190"/>
      <c r="B142" s="229" t="s">
        <v>196</v>
      </c>
      <c r="C142" s="229"/>
      <c r="D142" s="9" t="s">
        <v>197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2.75">
      <c r="A143" s="190"/>
      <c r="B143" s="9"/>
      <c r="C143" s="9"/>
      <c r="D143" s="9" t="s">
        <v>198</v>
      </c>
      <c r="E143" s="9"/>
      <c r="F143" s="9"/>
      <c r="G143" s="21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2.75">
      <c r="A144" s="9"/>
      <c r="B144" s="9"/>
      <c r="C144" s="9"/>
      <c r="D144" s="9"/>
      <c r="E144" s="9"/>
      <c r="F144" s="210"/>
      <c r="G144" s="21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3.5" thickBot="1">
      <c r="A145" s="9"/>
      <c r="B145" s="9"/>
      <c r="C145" s="9" t="s">
        <v>199</v>
      </c>
      <c r="D145" s="9"/>
      <c r="E145" s="9"/>
      <c r="F145" s="210"/>
      <c r="G145" s="210"/>
      <c r="L145" s="9"/>
      <c r="M145" s="9"/>
      <c r="O145" s="210"/>
      <c r="P145" s="210" t="s">
        <v>200</v>
      </c>
      <c r="Q145" s="9" t="s">
        <v>430</v>
      </c>
      <c r="R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2.75">
      <c r="A146" s="9"/>
      <c r="B146" s="119"/>
      <c r="C146" s="857" t="s">
        <v>203</v>
      </c>
      <c r="D146" s="895"/>
      <c r="E146" s="9"/>
      <c r="F146" s="210"/>
      <c r="G146" s="210"/>
      <c r="L146" s="9"/>
      <c r="M146" s="9"/>
      <c r="O146" s="119"/>
      <c r="P146" s="857" t="s">
        <v>429</v>
      </c>
      <c r="Q146" s="881"/>
      <c r="R146" s="850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2.75">
      <c r="A147" s="9"/>
      <c r="B147" s="192"/>
      <c r="C147" s="838" t="s">
        <v>207</v>
      </c>
      <c r="D147" s="900"/>
      <c r="E147" s="9"/>
      <c r="F147" s="210"/>
      <c r="G147" s="210"/>
      <c r="L147" s="9"/>
      <c r="M147" s="9"/>
      <c r="O147" s="192"/>
      <c r="P147" s="859" t="s">
        <v>208</v>
      </c>
      <c r="Q147" s="860"/>
      <c r="R147" s="852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2.75">
      <c r="A148" s="9" t="s">
        <v>2</v>
      </c>
      <c r="B148" s="230" t="s">
        <v>211</v>
      </c>
      <c r="C148" s="85" t="s">
        <v>212</v>
      </c>
      <c r="D148" s="118" t="s">
        <v>212</v>
      </c>
      <c r="E148" s="84"/>
      <c r="F148" s="348"/>
      <c r="G148" s="348"/>
      <c r="H148" s="349"/>
      <c r="I148" s="349"/>
      <c r="J148" s="349"/>
      <c r="K148" s="350"/>
      <c r="L148" s="9"/>
      <c r="M148" s="9"/>
      <c r="O148" s="231" t="s">
        <v>211</v>
      </c>
      <c r="P148" s="859" t="s">
        <v>213</v>
      </c>
      <c r="Q148" s="860"/>
      <c r="R148" s="852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2.75">
      <c r="A149" s="9"/>
      <c r="B149" s="53"/>
      <c r="C149" s="85" t="s">
        <v>215</v>
      </c>
      <c r="D149" s="118" t="s">
        <v>216</v>
      </c>
      <c r="E149" s="116"/>
      <c r="F149" s="351"/>
      <c r="G149" s="351" t="s">
        <v>446</v>
      </c>
      <c r="H149" s="352"/>
      <c r="I149" s="352"/>
      <c r="J149" s="352"/>
      <c r="K149" s="353"/>
      <c r="L149" s="9"/>
      <c r="M149" s="9"/>
      <c r="O149" s="192"/>
      <c r="P149" s="838"/>
      <c r="Q149" s="880"/>
      <c r="R149" s="842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2.75">
      <c r="A150" s="9"/>
      <c r="B150" s="53" t="s">
        <v>217</v>
      </c>
      <c r="C150" s="85" t="s">
        <v>218</v>
      </c>
      <c r="D150" s="118" t="s">
        <v>189</v>
      </c>
      <c r="E150" s="116"/>
      <c r="F150" s="351"/>
      <c r="G150" s="351"/>
      <c r="H150" s="352"/>
      <c r="I150" s="352"/>
      <c r="J150" s="352"/>
      <c r="K150" s="353"/>
      <c r="L150" s="9"/>
      <c r="M150" s="9"/>
      <c r="O150" s="53" t="s">
        <v>217</v>
      </c>
      <c r="P150" s="233" t="s">
        <v>64</v>
      </c>
      <c r="Q150" s="233" t="s">
        <v>219</v>
      </c>
      <c r="R150" s="118" t="s">
        <v>220</v>
      </c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2.75">
      <c r="A151" s="9"/>
      <c r="B151" s="54"/>
      <c r="C151" s="83" t="s">
        <v>224</v>
      </c>
      <c r="D151" s="224" t="s">
        <v>224</v>
      </c>
      <c r="E151" s="116"/>
      <c r="F151" s="351" t="s">
        <v>434</v>
      </c>
      <c r="G151" s="351" t="s">
        <v>437</v>
      </c>
      <c r="H151" s="116"/>
      <c r="I151" s="116" t="s">
        <v>441</v>
      </c>
      <c r="J151" s="370" t="s">
        <v>214</v>
      </c>
      <c r="K151" s="350"/>
      <c r="L151" s="9"/>
      <c r="M151" s="9"/>
      <c r="O151" s="54"/>
      <c r="P151" s="83"/>
      <c r="Q151" s="83"/>
      <c r="R151" s="178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2.75">
      <c r="A152" s="9"/>
      <c r="B152" s="181">
        <v>150</v>
      </c>
      <c r="C152" s="157">
        <v>0.8</v>
      </c>
      <c r="D152" s="237">
        <v>0.71</v>
      </c>
      <c r="E152" s="364"/>
      <c r="F152" s="351" t="s">
        <v>435</v>
      </c>
      <c r="G152" s="351" t="s">
        <v>438</v>
      </c>
      <c r="H152" s="354"/>
      <c r="I152" s="116" t="s">
        <v>442</v>
      </c>
      <c r="J152" s="371" t="s">
        <v>445</v>
      </c>
      <c r="K152" s="353"/>
      <c r="L152" s="9"/>
      <c r="M152" s="9"/>
      <c r="O152" s="181">
        <v>140</v>
      </c>
      <c r="P152" s="157">
        <v>0.87</v>
      </c>
      <c r="Q152" s="157">
        <v>0.85</v>
      </c>
      <c r="R152" s="237">
        <v>0.8</v>
      </c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2.75">
      <c r="A153" s="9"/>
      <c r="B153" s="181">
        <v>200</v>
      </c>
      <c r="C153" s="157">
        <v>0.7</v>
      </c>
      <c r="D153" s="237">
        <v>0.61</v>
      </c>
      <c r="E153" s="365">
        <f>+E154</f>
        <v>222.66316065667425</v>
      </c>
      <c r="F153" s="355">
        <f>IF(P128="ATRAPADO",VLOOKUP(E153,tabla30,2),IF(P128="INCORPORADO",VLOOKUP(E153,tabla30,3)))</f>
        <v>0.7</v>
      </c>
      <c r="G153" s="377">
        <f>VLOOKUP(E153,tabla30,1)</f>
        <v>200</v>
      </c>
      <c r="H153" s="356" t="s">
        <v>433</v>
      </c>
      <c r="I153" s="357">
        <f>+E154-G153</f>
        <v>22.66316065667425</v>
      </c>
      <c r="J153" s="372"/>
      <c r="K153" s="353"/>
      <c r="L153" s="9"/>
      <c r="M153" s="9"/>
      <c r="O153" s="181">
        <v>175</v>
      </c>
      <c r="P153" s="157">
        <v>0.79</v>
      </c>
      <c r="Q153" s="157">
        <v>0.76</v>
      </c>
      <c r="R153" s="237">
        <v>0.71</v>
      </c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2.75">
      <c r="A154" s="9"/>
      <c r="B154" s="181">
        <v>250</v>
      </c>
      <c r="C154" s="157">
        <v>0.62</v>
      </c>
      <c r="D154" s="237">
        <v>0.53</v>
      </c>
      <c r="E154" s="366">
        <f>+'DISEÑO NORMAL'!G12</f>
        <v>222.66316065667425</v>
      </c>
      <c r="F154" s="358" t="s">
        <v>432</v>
      </c>
      <c r="G154" s="355">
        <f>+F153-F155</f>
        <v>0.07999999999999996</v>
      </c>
      <c r="H154" s="359">
        <f>+G154/50</f>
        <v>0.0015999999999999992</v>
      </c>
      <c r="I154" s="352"/>
      <c r="J154" s="373">
        <f>+F153-I155</f>
        <v>0.6637389429493212</v>
      </c>
      <c r="K154" s="353"/>
      <c r="L154" s="9"/>
      <c r="M154" s="9"/>
      <c r="O154" s="181">
        <v>210</v>
      </c>
      <c r="P154" s="157">
        <v>0.72</v>
      </c>
      <c r="Q154" s="157">
        <v>0.69</v>
      </c>
      <c r="R154" s="237">
        <v>0.64</v>
      </c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2.75">
      <c r="A155" s="9"/>
      <c r="B155" s="181">
        <v>300</v>
      </c>
      <c r="C155" s="157">
        <v>0.55</v>
      </c>
      <c r="D155" s="237">
        <v>0.46</v>
      </c>
      <c r="E155" s="365">
        <f>+E154+50</f>
        <v>272.6631606566742</v>
      </c>
      <c r="F155" s="355">
        <f>IF(P128="ATRAPADO",VLOOKUP(E155,tabla30,2),IF(P128="INCORPORADO",VLOOKUP(E155,tabla30,3)))</f>
        <v>0.62</v>
      </c>
      <c r="G155" s="355"/>
      <c r="H155" s="355"/>
      <c r="I155" s="378">
        <f>+I153*H154</f>
        <v>0.03626105705067878</v>
      </c>
      <c r="J155" s="372"/>
      <c r="K155" s="353"/>
      <c r="L155" s="9"/>
      <c r="M155" s="9"/>
      <c r="O155" s="181">
        <v>245</v>
      </c>
      <c r="P155" s="157">
        <v>0.66</v>
      </c>
      <c r="Q155" s="157">
        <v>0.62</v>
      </c>
      <c r="R155" s="237">
        <v>0.58</v>
      </c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2.75">
      <c r="A156" s="9"/>
      <c r="B156" s="181">
        <v>350</v>
      </c>
      <c r="C156" s="157">
        <v>0.48</v>
      </c>
      <c r="D156" s="237">
        <v>0.4</v>
      </c>
      <c r="E156" s="364"/>
      <c r="F156" s="351" t="s">
        <v>434</v>
      </c>
      <c r="G156" s="351" t="s">
        <v>439</v>
      </c>
      <c r="H156" s="360" t="s">
        <v>440</v>
      </c>
      <c r="I156" s="116" t="s">
        <v>443</v>
      </c>
      <c r="J156" s="374"/>
      <c r="K156" s="363"/>
      <c r="L156" s="9"/>
      <c r="M156" s="9"/>
      <c r="O156" s="181">
        <v>280</v>
      </c>
      <c r="P156" s="157">
        <v>0.61</v>
      </c>
      <c r="Q156" s="157">
        <v>0.58</v>
      </c>
      <c r="R156" s="237">
        <v>0.53</v>
      </c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2.75">
      <c r="A157" s="9"/>
      <c r="B157" s="181">
        <v>400</v>
      </c>
      <c r="C157" s="157">
        <v>0.43</v>
      </c>
      <c r="D157" s="241">
        <v>0.4</v>
      </c>
      <c r="E157" s="116"/>
      <c r="F157" s="351" t="s">
        <v>436</v>
      </c>
      <c r="G157" s="351"/>
      <c r="H157" s="116"/>
      <c r="I157" s="116" t="s">
        <v>444</v>
      </c>
      <c r="J157" s="352"/>
      <c r="K157" s="353"/>
      <c r="L157" s="9"/>
      <c r="M157" s="9"/>
      <c r="O157" s="181">
        <v>315</v>
      </c>
      <c r="P157" s="157">
        <v>0.57</v>
      </c>
      <c r="Q157" s="157">
        <v>0.53</v>
      </c>
      <c r="R157" s="237">
        <v>0.49</v>
      </c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3.5" thickBot="1">
      <c r="A158" s="9"/>
      <c r="B158" s="185">
        <v>450</v>
      </c>
      <c r="C158" s="242">
        <v>0.38</v>
      </c>
      <c r="D158" s="243">
        <v>0.4</v>
      </c>
      <c r="E158" s="82"/>
      <c r="F158" s="361"/>
      <c r="G158" s="361"/>
      <c r="H158" s="362"/>
      <c r="I158" s="362"/>
      <c r="J158" s="362"/>
      <c r="K158" s="363"/>
      <c r="L158" s="9"/>
      <c r="M158" s="9"/>
      <c r="O158" s="185">
        <v>350</v>
      </c>
      <c r="P158" s="242">
        <v>0.53</v>
      </c>
      <c r="Q158" s="242">
        <v>0.49</v>
      </c>
      <c r="R158" s="244">
        <v>0.45</v>
      </c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2.75">
      <c r="A159" s="9"/>
      <c r="B159" s="9"/>
      <c r="C159" s="9"/>
      <c r="D159" s="9"/>
      <c r="E159" s="9"/>
      <c r="F159" s="210"/>
      <c r="G159" s="21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2.75">
      <c r="A160" s="9"/>
      <c r="B160" s="9"/>
      <c r="C160" s="9"/>
      <c r="D160" s="9"/>
      <c r="E160" s="9"/>
      <c r="F160" s="210"/>
      <c r="G160" s="21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2.75">
      <c r="A161" s="9"/>
      <c r="B161" s="9"/>
      <c r="C161" s="9"/>
      <c r="D161" s="9"/>
      <c r="E161" s="9"/>
      <c r="F161" s="210"/>
      <c r="G161" s="210"/>
      <c r="H161" s="9"/>
      <c r="I161" s="9"/>
      <c r="J161" s="9"/>
      <c r="K161" s="9"/>
      <c r="L161" s="9"/>
      <c r="M161" s="9"/>
      <c r="N161" s="9"/>
      <c r="O161" s="9"/>
      <c r="P161" s="9"/>
      <c r="Q161" s="339"/>
      <c r="R161" s="340"/>
      <c r="S161" s="340"/>
      <c r="T161" s="340"/>
      <c r="U161" s="340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2.75">
      <c r="A162" s="9"/>
      <c r="B162" s="9"/>
      <c r="C162" s="9"/>
      <c r="D162" s="9"/>
      <c r="E162" s="9"/>
      <c r="F162" s="210"/>
      <c r="G162" s="210"/>
      <c r="H162" s="9"/>
      <c r="I162" s="9"/>
      <c r="J162" s="9"/>
      <c r="K162" s="9"/>
      <c r="L162" s="9"/>
      <c r="M162" s="9"/>
      <c r="N162" s="9"/>
      <c r="O162" s="9"/>
      <c r="P162" s="9"/>
      <c r="Q162" s="339"/>
      <c r="R162" s="340"/>
      <c r="S162" s="340"/>
      <c r="T162" s="340"/>
      <c r="U162" s="340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3.5" thickBot="1">
      <c r="A163" s="9"/>
      <c r="B163" s="9"/>
      <c r="C163" s="9"/>
      <c r="D163" s="9" t="s">
        <v>201</v>
      </c>
      <c r="E163" s="9"/>
      <c r="F163" s="9"/>
      <c r="G163" s="9"/>
      <c r="H163" s="9"/>
      <c r="I163" s="9"/>
      <c r="J163" s="9"/>
      <c r="K163" s="9"/>
      <c r="L163" s="341" t="s">
        <v>202</v>
      </c>
      <c r="M163" s="340"/>
      <c r="N163" s="340"/>
      <c r="O163" s="9"/>
      <c r="P163" s="9"/>
      <c r="Q163" s="341"/>
      <c r="R163" s="340"/>
      <c r="S163" s="340"/>
      <c r="T163" s="340"/>
      <c r="U163" s="340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2.75">
      <c r="A164" s="9"/>
      <c r="B164" s="119"/>
      <c r="C164" s="857" t="s">
        <v>204</v>
      </c>
      <c r="D164" s="881"/>
      <c r="E164" s="881"/>
      <c r="F164" s="850"/>
      <c r="G164" s="9"/>
      <c r="H164" s="9"/>
      <c r="I164" s="9"/>
      <c r="J164" s="119"/>
      <c r="K164" s="857" t="s">
        <v>205</v>
      </c>
      <c r="L164" s="858"/>
      <c r="M164" s="849" t="s">
        <v>206</v>
      </c>
      <c r="N164" s="850"/>
      <c r="O164" s="9"/>
      <c r="P164" s="9"/>
      <c r="Q164" s="341"/>
      <c r="R164" s="340"/>
      <c r="S164" s="340"/>
      <c r="T164" s="340"/>
      <c r="U164" s="340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2.75">
      <c r="A165" s="9"/>
      <c r="B165" s="192"/>
      <c r="C165" s="859" t="s">
        <v>209</v>
      </c>
      <c r="D165" s="860"/>
      <c r="E165" s="860"/>
      <c r="F165" s="852"/>
      <c r="G165" s="9"/>
      <c r="H165" s="9"/>
      <c r="I165" s="9"/>
      <c r="J165" s="192"/>
      <c r="K165" s="859" t="s">
        <v>210</v>
      </c>
      <c r="L165" s="856"/>
      <c r="M165" s="851" t="s">
        <v>210</v>
      </c>
      <c r="N165" s="852"/>
      <c r="O165" s="9"/>
      <c r="P165" s="9"/>
      <c r="Q165" s="341"/>
      <c r="R165" s="340"/>
      <c r="S165" s="340"/>
      <c r="T165" s="340"/>
      <c r="U165" s="340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2.75">
      <c r="A166" s="9"/>
      <c r="B166" s="231" t="s">
        <v>211</v>
      </c>
      <c r="C166" s="232"/>
      <c r="D166" s="9"/>
      <c r="E166" s="9"/>
      <c r="F166" s="117"/>
      <c r="G166" s="9"/>
      <c r="H166" s="9"/>
      <c r="I166" s="9"/>
      <c r="J166" s="231" t="s">
        <v>214</v>
      </c>
      <c r="K166" s="154"/>
      <c r="L166" s="93"/>
      <c r="M166" s="9"/>
      <c r="N166" s="117"/>
      <c r="O166" s="9"/>
      <c r="P166" s="9"/>
      <c r="Q166" s="341"/>
      <c r="R166" s="340"/>
      <c r="S166" s="340"/>
      <c r="T166" s="340"/>
      <c r="U166" s="340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2.75">
      <c r="A167" s="9"/>
      <c r="B167" s="192"/>
      <c r="C167" s="177"/>
      <c r="D167" s="82"/>
      <c r="E167" s="82"/>
      <c r="F167" s="178"/>
      <c r="G167" s="9"/>
      <c r="H167" s="9"/>
      <c r="I167" s="9"/>
      <c r="J167" s="192"/>
      <c r="K167" s="155"/>
      <c r="L167" s="160"/>
      <c r="M167" s="82"/>
      <c r="N167" s="178"/>
      <c r="O167" s="9"/>
      <c r="P167" s="9"/>
      <c r="Q167" s="341"/>
      <c r="R167" s="340"/>
      <c r="S167" s="340"/>
      <c r="T167" s="340"/>
      <c r="U167" s="340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2.75">
      <c r="A168" s="9"/>
      <c r="B168" s="53" t="s">
        <v>217</v>
      </c>
      <c r="C168" s="234">
        <v>0.02</v>
      </c>
      <c r="D168" s="234">
        <v>0.04</v>
      </c>
      <c r="E168" s="234">
        <v>0.06</v>
      </c>
      <c r="F168" s="235">
        <v>0.08</v>
      </c>
      <c r="G168" s="9"/>
      <c r="H168" s="9"/>
      <c r="I168" s="9"/>
      <c r="J168" s="53" t="s">
        <v>221</v>
      </c>
      <c r="K168" s="236" t="s">
        <v>222</v>
      </c>
      <c r="L168" s="234" t="s">
        <v>223</v>
      </c>
      <c r="M168" s="236" t="s">
        <v>222</v>
      </c>
      <c r="N168" s="235" t="s">
        <v>223</v>
      </c>
      <c r="O168" s="9"/>
      <c r="P168" s="9"/>
      <c r="Q168" s="341"/>
      <c r="R168" s="340"/>
      <c r="S168" s="340"/>
      <c r="T168" s="340"/>
      <c r="U168" s="340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2.75">
      <c r="A169" s="9"/>
      <c r="B169" s="54"/>
      <c r="C169" s="83"/>
      <c r="D169" s="83"/>
      <c r="E169" s="160"/>
      <c r="F169" s="178"/>
      <c r="G169" s="9"/>
      <c r="H169" s="9"/>
      <c r="I169" s="9"/>
      <c r="J169" s="54"/>
      <c r="K169" s="83"/>
      <c r="L169" s="83" t="s">
        <v>225</v>
      </c>
      <c r="M169" s="83"/>
      <c r="N169" s="224" t="s">
        <v>225</v>
      </c>
      <c r="O169" s="9"/>
      <c r="P169" s="9"/>
      <c r="Q169" s="341"/>
      <c r="R169" s="340"/>
      <c r="S169" s="340"/>
      <c r="T169" s="340"/>
      <c r="U169" s="340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2.75">
      <c r="A170" s="9"/>
      <c r="B170" s="181">
        <v>140</v>
      </c>
      <c r="C170" s="157">
        <v>0.76</v>
      </c>
      <c r="D170" s="157">
        <v>0.71</v>
      </c>
      <c r="E170" s="157">
        <v>0.67</v>
      </c>
      <c r="F170" s="237">
        <v>0.6</v>
      </c>
      <c r="G170" s="9"/>
      <c r="H170" s="9"/>
      <c r="I170" s="9"/>
      <c r="J170" s="238">
        <v>0.4</v>
      </c>
      <c r="K170" s="239">
        <v>385</v>
      </c>
      <c r="L170" s="239">
        <v>414</v>
      </c>
      <c r="M170" s="239">
        <v>315</v>
      </c>
      <c r="N170" s="240">
        <v>361</v>
      </c>
      <c r="O170" s="9"/>
      <c r="P170" s="9"/>
      <c r="Q170" s="341"/>
      <c r="R170" s="340"/>
      <c r="S170" s="340"/>
      <c r="T170" s="340"/>
      <c r="U170" s="340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2.75">
      <c r="A171" s="9"/>
      <c r="B171" s="181">
        <v>175</v>
      </c>
      <c r="C171" s="157">
        <v>0.67</v>
      </c>
      <c r="D171" s="157">
        <v>0.62</v>
      </c>
      <c r="E171" s="157">
        <v>0.58</v>
      </c>
      <c r="F171" s="237">
        <v>0.51</v>
      </c>
      <c r="G171" s="9"/>
      <c r="H171" s="9"/>
      <c r="I171" s="9"/>
      <c r="J171" s="238">
        <v>0.45</v>
      </c>
      <c r="K171" s="239">
        <v>350</v>
      </c>
      <c r="L171" s="239">
        <v>365</v>
      </c>
      <c r="M171" s="239">
        <v>280</v>
      </c>
      <c r="N171" s="240">
        <v>325</v>
      </c>
      <c r="O171" s="9"/>
      <c r="P171" s="9"/>
      <c r="Q171" s="341"/>
      <c r="R171" s="340"/>
      <c r="S171" s="340"/>
      <c r="T171" s="340"/>
      <c r="U171" s="340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2.75">
      <c r="A172" s="9"/>
      <c r="B172" s="181">
        <v>210</v>
      </c>
      <c r="C172" s="157">
        <v>0.6</v>
      </c>
      <c r="D172" s="157">
        <v>0.55</v>
      </c>
      <c r="E172" s="157">
        <v>0.51</v>
      </c>
      <c r="F172" s="237">
        <v>0.45</v>
      </c>
      <c r="G172" s="9"/>
      <c r="H172" s="9"/>
      <c r="I172" s="9"/>
      <c r="J172" s="238">
        <v>0.5</v>
      </c>
      <c r="K172" s="239">
        <v>305</v>
      </c>
      <c r="L172" s="239">
        <v>329</v>
      </c>
      <c r="M172" s="239">
        <v>250</v>
      </c>
      <c r="N172" s="240">
        <v>287</v>
      </c>
      <c r="O172" s="9"/>
      <c r="P172" s="9"/>
      <c r="Q172" s="341"/>
      <c r="R172" s="340"/>
      <c r="S172" s="340"/>
      <c r="T172" s="340"/>
      <c r="U172" s="340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2.75">
      <c r="A173" s="9"/>
      <c r="B173" s="181">
        <v>245</v>
      </c>
      <c r="C173" s="157">
        <v>0.53</v>
      </c>
      <c r="D173" s="157">
        <v>0.49</v>
      </c>
      <c r="E173" s="157">
        <v>0.45</v>
      </c>
      <c r="F173" s="237">
        <v>0.37</v>
      </c>
      <c r="G173" s="9"/>
      <c r="H173" s="9"/>
      <c r="I173" s="9"/>
      <c r="J173" s="238">
        <v>0.55</v>
      </c>
      <c r="K173" s="239">
        <v>280</v>
      </c>
      <c r="L173" s="239">
        <v>298</v>
      </c>
      <c r="M173" s="239">
        <v>230</v>
      </c>
      <c r="N173" s="240">
        <v>276</v>
      </c>
      <c r="O173" s="9"/>
      <c r="P173" s="9"/>
      <c r="Q173" s="341"/>
      <c r="R173" s="340"/>
      <c r="S173" s="340"/>
      <c r="T173" s="340"/>
      <c r="U173" s="340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2.75">
      <c r="A174" s="9"/>
      <c r="B174" s="181">
        <v>280</v>
      </c>
      <c r="C174" s="157">
        <v>0.49</v>
      </c>
      <c r="D174" s="157">
        <v>0.45</v>
      </c>
      <c r="E174" s="157">
        <v>0.4</v>
      </c>
      <c r="F174" s="237">
        <v>0.33</v>
      </c>
      <c r="G174" s="9"/>
      <c r="H174" s="9"/>
      <c r="I174" s="9"/>
      <c r="J174" s="238">
        <v>0.6</v>
      </c>
      <c r="K174" s="239">
        <v>240</v>
      </c>
      <c r="L174" s="239">
        <v>265</v>
      </c>
      <c r="M174" s="239">
        <v>195</v>
      </c>
      <c r="N174" s="240">
        <v>240</v>
      </c>
      <c r="O174" s="9"/>
      <c r="P174" s="9"/>
      <c r="Q174" s="341"/>
      <c r="R174" s="340"/>
      <c r="S174" s="340"/>
      <c r="T174" s="340"/>
      <c r="U174" s="340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2.75">
      <c r="A175" s="9"/>
      <c r="B175" s="181">
        <v>315</v>
      </c>
      <c r="C175" s="157">
        <v>0.45</v>
      </c>
      <c r="D175" s="157">
        <v>0.4</v>
      </c>
      <c r="E175" s="157">
        <v>0.36</v>
      </c>
      <c r="F175" s="237">
        <v>0.29</v>
      </c>
      <c r="G175" s="9"/>
      <c r="H175" s="9"/>
      <c r="I175" s="9"/>
      <c r="J175" s="238">
        <v>0.65</v>
      </c>
      <c r="K175" s="239">
        <v>215</v>
      </c>
      <c r="L175" s="239">
        <v>250</v>
      </c>
      <c r="M175" s="239">
        <v>182</v>
      </c>
      <c r="N175" s="240">
        <v>228</v>
      </c>
      <c r="O175" s="9"/>
      <c r="P175" s="9"/>
      <c r="Q175" s="341"/>
      <c r="R175" s="340"/>
      <c r="S175" s="340"/>
      <c r="T175" s="340"/>
      <c r="U175" s="340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3.5" thickBot="1">
      <c r="A176" s="9"/>
      <c r="B176" s="185">
        <v>350</v>
      </c>
      <c r="C176" s="242">
        <v>0.4</v>
      </c>
      <c r="D176" s="245" t="s">
        <v>137</v>
      </c>
      <c r="E176" s="245" t="s">
        <v>137</v>
      </c>
      <c r="F176" s="246" t="s">
        <v>137</v>
      </c>
      <c r="G176" s="9"/>
      <c r="H176" s="9"/>
      <c r="I176" s="9"/>
      <c r="J176" s="238">
        <v>0.7</v>
      </c>
      <c r="K176" s="239">
        <v>180</v>
      </c>
      <c r="L176" s="239">
        <v>234</v>
      </c>
      <c r="M176" s="239">
        <v>150</v>
      </c>
      <c r="N176" s="240">
        <v>213</v>
      </c>
      <c r="O176" s="9"/>
      <c r="P176" s="9"/>
      <c r="Q176" s="341"/>
      <c r="R176" s="340"/>
      <c r="S176" s="340"/>
      <c r="T176" s="340"/>
      <c r="U176" s="340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3.5" thickBot="1">
      <c r="A177" s="9"/>
      <c r="B177" s="9"/>
      <c r="C177" s="9"/>
      <c r="D177" s="9"/>
      <c r="E177" s="9"/>
      <c r="F177" s="9"/>
      <c r="G177" s="9"/>
      <c r="H177" s="9"/>
      <c r="I177" s="9"/>
      <c r="J177" s="247">
        <v>0.75</v>
      </c>
      <c r="K177" s="248">
        <v>170</v>
      </c>
      <c r="L177" s="248">
        <v>223</v>
      </c>
      <c r="M177" s="248">
        <v>140</v>
      </c>
      <c r="N177" s="249">
        <v>191</v>
      </c>
      <c r="O177" s="9"/>
      <c r="P177" s="9"/>
      <c r="Q177" s="341"/>
      <c r="R177" s="340"/>
      <c r="S177" s="340"/>
      <c r="T177" s="340"/>
      <c r="U177" s="340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2.75">
      <c r="A178" s="9"/>
      <c r="B178" s="9"/>
      <c r="C178" s="9"/>
      <c r="D178" s="9"/>
      <c r="E178" s="9"/>
      <c r="F178" s="210"/>
      <c r="G178" s="210"/>
      <c r="H178" s="9"/>
      <c r="I178" s="9"/>
      <c r="J178" s="9"/>
      <c r="K178" s="9"/>
      <c r="L178" s="9"/>
      <c r="M178" s="9"/>
      <c r="N178" s="9"/>
      <c r="O178" s="9"/>
      <c r="P178" s="9"/>
      <c r="Q178" s="339"/>
      <c r="R178" s="340"/>
      <c r="S178" s="340"/>
      <c r="T178" s="340"/>
      <c r="U178" s="340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2.75">
      <c r="A179" s="9"/>
      <c r="B179" s="9"/>
      <c r="C179" s="9"/>
      <c r="D179" s="9"/>
      <c r="E179" s="9"/>
      <c r="F179" s="210"/>
      <c r="G179" s="210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2.75">
      <c r="A180" s="9"/>
      <c r="B180" s="9"/>
      <c r="C180" s="9"/>
      <c r="D180" s="9"/>
      <c r="E180" s="9"/>
      <c r="F180" s="210"/>
      <c r="G180" s="210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2.75">
      <c r="A181" s="190">
        <v>6</v>
      </c>
      <c r="B181" s="191" t="s">
        <v>226</v>
      </c>
      <c r="C181" s="191"/>
      <c r="D181" s="191"/>
      <c r="E181" s="191"/>
      <c r="F181" s="191"/>
      <c r="G181" s="210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2.75">
      <c r="A182" s="9"/>
      <c r="B182" s="9"/>
      <c r="C182" s="9"/>
      <c r="D182" s="9"/>
      <c r="E182" s="9"/>
      <c r="F182" s="210"/>
      <c r="G182" s="21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2.75">
      <c r="A183" s="9"/>
      <c r="B183" s="229" t="s">
        <v>196</v>
      </c>
      <c r="C183" s="229"/>
      <c r="D183" s="9" t="s">
        <v>227</v>
      </c>
      <c r="E183" s="9"/>
      <c r="F183" s="9"/>
      <c r="G183" s="210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2.75">
      <c r="A184" s="9"/>
      <c r="B184" s="9"/>
      <c r="C184" s="9"/>
      <c r="D184" s="9" t="s">
        <v>228</v>
      </c>
      <c r="E184" s="9"/>
      <c r="F184" s="210"/>
      <c r="G184" s="210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2.75">
      <c r="A185" s="9"/>
      <c r="B185" s="9"/>
      <c r="C185" s="9"/>
      <c r="D185" s="9" t="s">
        <v>229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2.75">
      <c r="A186" s="9"/>
      <c r="B186" s="9"/>
      <c r="D186" s="9"/>
      <c r="E186" s="9"/>
      <c r="F186" s="164" t="s">
        <v>230</v>
      </c>
      <c r="G186" s="164"/>
      <c r="H186" s="164"/>
      <c r="I186" s="16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2.75">
      <c r="A187" s="9"/>
      <c r="D187" s="9"/>
      <c r="E187" s="9"/>
      <c r="F187" s="9" t="s">
        <v>233</v>
      </c>
      <c r="G187" s="9" t="s">
        <v>478</v>
      </c>
      <c r="H187" s="210"/>
      <c r="I187" s="250"/>
      <c r="J187" s="9"/>
      <c r="V187" s="9"/>
      <c r="W187" s="9"/>
      <c r="X187" s="164" t="s">
        <v>230</v>
      </c>
      <c r="Y187" s="164"/>
      <c r="Z187" s="164"/>
      <c r="AA187" s="164"/>
      <c r="AB187" s="9"/>
      <c r="AC187" s="9"/>
      <c r="AD187" s="9"/>
      <c r="AE187" s="9"/>
    </row>
    <row r="188" spans="1:31" ht="13.5" thickBot="1">
      <c r="A188" s="9"/>
      <c r="D188" s="399"/>
      <c r="E188" s="84"/>
      <c r="F188" s="84"/>
      <c r="G188" s="402"/>
      <c r="H188" s="404" t="s">
        <v>239</v>
      </c>
      <c r="I188" s="299" t="s">
        <v>483</v>
      </c>
      <c r="J188" s="9"/>
      <c r="V188" s="9"/>
      <c r="W188" s="9"/>
      <c r="X188" s="9" t="s">
        <v>233</v>
      </c>
      <c r="Y188" s="9"/>
      <c r="Z188" s="210"/>
      <c r="AA188" s="250"/>
      <c r="AB188" s="9"/>
      <c r="AC188" s="9"/>
      <c r="AD188" s="9"/>
      <c r="AE188" s="9"/>
    </row>
    <row r="189" spans="1:31" ht="12.75">
      <c r="A189" s="9"/>
      <c r="D189" s="293"/>
      <c r="E189" s="161" t="s">
        <v>241</v>
      </c>
      <c r="F189" s="161"/>
      <c r="G189" s="403"/>
      <c r="H189" s="405" t="s">
        <v>482</v>
      </c>
      <c r="I189" s="300" t="s">
        <v>484</v>
      </c>
      <c r="J189" s="400"/>
      <c r="K189" s="351"/>
      <c r="V189" s="94"/>
      <c r="W189" s="80"/>
      <c r="X189" s="251"/>
      <c r="Y189" s="857" t="s">
        <v>236</v>
      </c>
      <c r="Z189" s="858"/>
      <c r="AA189" s="835" t="s">
        <v>237</v>
      </c>
      <c r="AB189" s="836"/>
      <c r="AC189" s="9"/>
      <c r="AD189" s="9"/>
      <c r="AE189" s="9"/>
    </row>
    <row r="190" spans="1:31" ht="12.75">
      <c r="A190" s="9"/>
      <c r="D190" s="232"/>
      <c r="E190" s="116"/>
      <c r="F190" s="116"/>
      <c r="G190" s="403"/>
      <c r="H190" s="405" t="s">
        <v>481</v>
      </c>
      <c r="I190" s="300" t="s">
        <v>261</v>
      </c>
      <c r="J190" s="400"/>
      <c r="K190" s="351"/>
      <c r="V190" s="853" t="s">
        <v>241</v>
      </c>
      <c r="W190" s="854"/>
      <c r="X190" s="855"/>
      <c r="Y190" s="851" t="s">
        <v>242</v>
      </c>
      <c r="Z190" s="856"/>
      <c r="AA190" s="833" t="s">
        <v>243</v>
      </c>
      <c r="AB190" s="834"/>
      <c r="AC190" s="9"/>
      <c r="AD190" s="9"/>
      <c r="AE190" s="9"/>
    </row>
    <row r="191" spans="1:31" ht="13.5" thickBot="1">
      <c r="A191" s="9"/>
      <c r="C191" s="10" t="s">
        <v>486</v>
      </c>
      <c r="D191" s="232"/>
      <c r="E191" s="116"/>
      <c r="F191" s="116"/>
      <c r="G191" s="93"/>
      <c r="H191" s="405" t="s">
        <v>249</v>
      </c>
      <c r="I191" s="406" t="s">
        <v>174</v>
      </c>
      <c r="J191" s="400"/>
      <c r="K191" s="351"/>
      <c r="V191" s="95"/>
      <c r="W191" s="88"/>
      <c r="X191" s="206"/>
      <c r="Y191" s="847" t="s">
        <v>249</v>
      </c>
      <c r="Z191" s="848"/>
      <c r="AA191" s="844" t="s">
        <v>250</v>
      </c>
      <c r="AB191" s="845"/>
      <c r="AC191" s="9"/>
      <c r="AD191" s="9"/>
      <c r="AE191" s="9"/>
    </row>
    <row r="192" spans="1:31" ht="12.75">
      <c r="A192" s="9"/>
      <c r="D192" s="232"/>
      <c r="E192" s="116"/>
      <c r="F192" s="116"/>
      <c r="G192" s="93"/>
      <c r="H192" s="306"/>
      <c r="I192" s="406" t="s">
        <v>485</v>
      </c>
      <c r="J192" s="351"/>
      <c r="K192" s="116"/>
      <c r="V192" s="94" t="s">
        <v>257</v>
      </c>
      <c r="W192" s="80"/>
      <c r="X192" s="97"/>
      <c r="Y192" s="9"/>
      <c r="Z192" s="221"/>
      <c r="AA192" s="210"/>
      <c r="AB192" s="117"/>
      <c r="AC192" s="9"/>
      <c r="AD192" s="9"/>
      <c r="AE192" s="9"/>
    </row>
    <row r="193" spans="1:31" ht="12.75">
      <c r="A193" s="9"/>
      <c r="C193" s="299">
        <v>1</v>
      </c>
      <c r="D193" s="412" t="s">
        <v>537</v>
      </c>
      <c r="E193" s="349"/>
      <c r="F193" s="349"/>
      <c r="G193" s="350"/>
      <c r="H193" s="445" t="s">
        <v>538</v>
      </c>
      <c r="I193" s="442"/>
      <c r="J193" s="351"/>
      <c r="K193" s="116" t="s">
        <v>494</v>
      </c>
      <c r="L193" s="9"/>
      <c r="M193" s="9" t="s">
        <v>671</v>
      </c>
      <c r="N193" s="9"/>
      <c r="O193" s="9"/>
      <c r="P193" s="9"/>
      <c r="Q193" s="9"/>
      <c r="R193" s="9"/>
      <c r="S193" s="9"/>
      <c r="T193" s="9"/>
      <c r="V193" s="96"/>
      <c r="W193" s="9"/>
      <c r="X193" s="93"/>
      <c r="Y193" s="9"/>
      <c r="Z193" s="221"/>
      <c r="AA193" s="210"/>
      <c r="AB193" s="117"/>
      <c r="AC193" s="9"/>
      <c r="AD193" s="9"/>
      <c r="AE193" s="9"/>
    </row>
    <row r="194" spans="1:31" ht="12.75">
      <c r="A194" s="837" t="s">
        <v>497</v>
      </c>
      <c r="B194" s="729"/>
      <c r="C194" s="300">
        <f>+C193+1</f>
        <v>2</v>
      </c>
      <c r="D194" s="232" t="s">
        <v>506</v>
      </c>
      <c r="E194" s="116"/>
      <c r="F194" s="116"/>
      <c r="G194" s="255"/>
      <c r="H194" s="415">
        <v>0.5</v>
      </c>
      <c r="I194" s="443">
        <v>260</v>
      </c>
      <c r="J194" s="401" t="s">
        <v>390</v>
      </c>
      <c r="K194" s="116" t="s">
        <v>495</v>
      </c>
      <c r="L194" s="9"/>
      <c r="M194" s="3" t="s">
        <v>730</v>
      </c>
      <c r="N194" s="9"/>
      <c r="O194" s="9"/>
      <c r="P194" s="9"/>
      <c r="Q194" s="9"/>
      <c r="R194" s="9"/>
      <c r="S194" s="9"/>
      <c r="T194" s="9"/>
      <c r="V194" s="96" t="s">
        <v>263</v>
      </c>
      <c r="W194" s="9"/>
      <c r="X194" s="93"/>
      <c r="Y194" s="253">
        <v>0.5</v>
      </c>
      <c r="Z194" s="221"/>
      <c r="AA194" s="254">
        <v>260</v>
      </c>
      <c r="AB194" s="117"/>
      <c r="AC194" s="9"/>
      <c r="AD194" s="9"/>
      <c r="AE194" s="9"/>
    </row>
    <row r="195" spans="1:31" ht="12.75">
      <c r="A195" s="859"/>
      <c r="B195" s="860"/>
      <c r="C195" s="300">
        <f aca="true" t="shared" si="4" ref="C195:C200">+C194+1</f>
        <v>3</v>
      </c>
      <c r="D195" s="232" t="s">
        <v>507</v>
      </c>
      <c r="E195" s="116"/>
      <c r="F195" s="116"/>
      <c r="G195" s="255"/>
      <c r="H195" s="415">
        <v>0.45</v>
      </c>
      <c r="I195" s="406"/>
      <c r="J195" s="418">
        <v>4</v>
      </c>
      <c r="K195" s="375" t="str">
        <f>IF(OR(O126=1,O126=2),"solo casos severos",IF(O126=3,VLOOKUP(J195,tabla40,6)))</f>
        <v>solo casos severos</v>
      </c>
      <c r="L195" s="9"/>
      <c r="M195" s="3" t="s">
        <v>731</v>
      </c>
      <c r="N195" s="9"/>
      <c r="O195" s="322">
        <f>+O126</f>
        <v>1</v>
      </c>
      <c r="P195" s="9"/>
      <c r="Q195" s="9"/>
      <c r="R195" s="9"/>
      <c r="S195" s="9"/>
      <c r="T195" s="9"/>
      <c r="V195" s="96" t="s">
        <v>266</v>
      </c>
      <c r="W195" s="9"/>
      <c r="X195" s="86"/>
      <c r="Y195" s="253">
        <v>0.45</v>
      </c>
      <c r="Z195" s="221"/>
      <c r="AA195" s="254"/>
      <c r="AB195" s="117"/>
      <c r="AC195" s="9"/>
      <c r="AD195" s="9"/>
      <c r="AE195" s="9"/>
    </row>
    <row r="196" spans="1:31" ht="12.75">
      <c r="A196" s="838"/>
      <c r="B196" s="880"/>
      <c r="C196" s="300">
        <f t="shared" si="4"/>
        <v>4</v>
      </c>
      <c r="D196" s="177" t="s">
        <v>508</v>
      </c>
      <c r="E196" s="82"/>
      <c r="F196" s="82"/>
      <c r="G196" s="409"/>
      <c r="H196" s="416">
        <v>0.45</v>
      </c>
      <c r="I196" s="407"/>
      <c r="J196" s="401"/>
      <c r="K196" s="116"/>
      <c r="L196" s="9"/>
      <c r="M196" s="3" t="s">
        <v>732</v>
      </c>
      <c r="N196" s="9"/>
      <c r="O196" s="9"/>
      <c r="P196" s="9"/>
      <c r="Q196" s="9"/>
      <c r="R196" s="9"/>
      <c r="S196" s="9"/>
      <c r="T196" s="9"/>
      <c r="V196" s="98" t="s">
        <v>269</v>
      </c>
      <c r="W196" s="82"/>
      <c r="X196" s="99"/>
      <c r="Y196" s="262">
        <v>0.45</v>
      </c>
      <c r="Z196" s="263"/>
      <c r="AA196" s="264"/>
      <c r="AB196" s="178"/>
      <c r="AC196" s="9"/>
      <c r="AD196" s="9"/>
      <c r="AE196" s="9"/>
    </row>
    <row r="197" spans="1:31" ht="12.75">
      <c r="A197" s="399" t="s">
        <v>493</v>
      </c>
      <c r="B197" s="349"/>
      <c r="C197" s="300">
        <f t="shared" si="4"/>
        <v>5</v>
      </c>
      <c r="D197" s="116" t="s">
        <v>505</v>
      </c>
      <c r="E197" s="116"/>
      <c r="F197" s="116"/>
      <c r="G197" s="255"/>
      <c r="H197" s="415">
        <v>0.45</v>
      </c>
      <c r="I197" s="221"/>
      <c r="J197" s="441">
        <v>2</v>
      </c>
      <c r="K197" s="116"/>
      <c r="L197" s="9"/>
      <c r="M197" s="9"/>
      <c r="N197" s="9" t="s">
        <v>679</v>
      </c>
      <c r="O197" s="9"/>
      <c r="P197" s="9"/>
      <c r="Q197" s="9"/>
      <c r="R197" s="9"/>
      <c r="S197" s="9"/>
      <c r="T197" s="9"/>
      <c r="V197" s="96" t="s">
        <v>271</v>
      </c>
      <c r="W197" s="9"/>
      <c r="X197" s="86"/>
      <c r="Y197" s="253"/>
      <c r="Z197" s="221"/>
      <c r="AA197" s="254"/>
      <c r="AB197" s="117"/>
      <c r="AC197" s="9"/>
      <c r="AD197" s="9"/>
      <c r="AE197" s="9"/>
    </row>
    <row r="198" spans="1:31" ht="12.75">
      <c r="A198" s="177" t="s">
        <v>477</v>
      </c>
      <c r="B198" s="362"/>
      <c r="C198" s="300">
        <f t="shared" si="4"/>
        <v>6</v>
      </c>
      <c r="D198" s="82" t="s">
        <v>536</v>
      </c>
      <c r="E198" s="82"/>
      <c r="F198" s="82"/>
      <c r="G198" s="409"/>
      <c r="H198" s="416">
        <v>0.5</v>
      </c>
      <c r="I198" s="417">
        <v>300</v>
      </c>
      <c r="J198" s="116"/>
      <c r="K198" s="116"/>
      <c r="L198" s="9"/>
      <c r="M198" s="9" t="s">
        <v>670</v>
      </c>
      <c r="N198" s="10" t="s">
        <v>673</v>
      </c>
      <c r="O198" s="9" t="s">
        <v>460</v>
      </c>
      <c r="P198" s="9"/>
      <c r="Q198" s="10"/>
      <c r="R198" s="9"/>
      <c r="S198" s="9"/>
      <c r="T198" s="9"/>
      <c r="V198" s="96" t="s">
        <v>275</v>
      </c>
      <c r="W198" s="9"/>
      <c r="X198" s="86"/>
      <c r="Y198" s="253"/>
      <c r="Z198" s="221"/>
      <c r="AA198" s="254">
        <v>300</v>
      </c>
      <c r="AB198" s="117"/>
      <c r="AC198" s="9"/>
      <c r="AD198" s="9"/>
      <c r="AE198" s="9"/>
    </row>
    <row r="199" spans="1:31" ht="12.75">
      <c r="A199" s="399" t="s">
        <v>479</v>
      </c>
      <c r="B199" s="349"/>
      <c r="C199" s="300">
        <f t="shared" si="4"/>
        <v>7</v>
      </c>
      <c r="D199" s="84" t="s">
        <v>509</v>
      </c>
      <c r="E199" s="84"/>
      <c r="F199" s="84"/>
      <c r="G199" s="408"/>
      <c r="H199" s="413">
        <v>0.4</v>
      </c>
      <c r="I199" s="414">
        <v>325</v>
      </c>
      <c r="J199" s="401"/>
      <c r="K199" s="116"/>
      <c r="L199" s="9">
        <v>1</v>
      </c>
      <c r="M199" s="3" t="s">
        <v>706</v>
      </c>
      <c r="N199" s="253">
        <v>0</v>
      </c>
      <c r="O199" s="476">
        <f>((N199/100)*'DISEÑO NORMAL'!$F$71)*1.19</f>
        <v>0</v>
      </c>
      <c r="P199" s="9"/>
      <c r="Q199" s="9"/>
      <c r="R199" s="476"/>
      <c r="S199" s="124"/>
      <c r="T199" s="9"/>
      <c r="V199" s="96"/>
      <c r="W199" s="9"/>
      <c r="X199" s="93"/>
      <c r="Y199" s="253"/>
      <c r="Z199" s="221"/>
      <c r="AA199" s="254"/>
      <c r="AB199" s="117"/>
      <c r="AC199" s="9"/>
      <c r="AD199" s="9"/>
      <c r="AE199" s="9"/>
    </row>
    <row r="200" spans="1:31" ht="12.75">
      <c r="A200" s="177" t="s">
        <v>480</v>
      </c>
      <c r="B200" s="362"/>
      <c r="C200" s="300">
        <f t="shared" si="4"/>
        <v>8</v>
      </c>
      <c r="D200" s="82" t="s">
        <v>510</v>
      </c>
      <c r="E200" s="82"/>
      <c r="F200" s="82"/>
      <c r="G200" s="409"/>
      <c r="H200" s="416">
        <v>0.45</v>
      </c>
      <c r="I200" s="417">
        <v>300</v>
      </c>
      <c r="J200" s="401"/>
      <c r="K200" s="116"/>
      <c r="L200" s="9">
        <f>+L199+1</f>
        <v>2</v>
      </c>
      <c r="M200" s="3" t="s">
        <v>706</v>
      </c>
      <c r="N200" s="253">
        <v>0.35</v>
      </c>
      <c r="O200" s="476">
        <f>((N200/100)*'DISEÑO NORMAL'!$F$71)*1.19</f>
        <v>1.3552909999999998</v>
      </c>
      <c r="P200" s="9"/>
      <c r="Q200" s="9"/>
      <c r="R200" s="476"/>
      <c r="S200" s="124"/>
      <c r="T200" s="9"/>
      <c r="V200" s="96" t="s">
        <v>278</v>
      </c>
      <c r="W200" s="9"/>
      <c r="X200" s="86"/>
      <c r="Y200" s="253">
        <v>0.45</v>
      </c>
      <c r="Z200" s="221"/>
      <c r="AA200" s="254"/>
      <c r="AB200" s="117"/>
      <c r="AC200" s="9"/>
      <c r="AD200" s="9"/>
      <c r="AE200" s="9"/>
    </row>
    <row r="201" spans="1:31" ht="12.75">
      <c r="A201" s="116"/>
      <c r="B201" s="352"/>
      <c r="C201" s="444">
        <v>1</v>
      </c>
      <c r="D201" s="340">
        <f aca="true" t="shared" si="5" ref="D201:I201">+C201+1</f>
        <v>2</v>
      </c>
      <c r="E201" s="340">
        <f t="shared" si="5"/>
        <v>3</v>
      </c>
      <c r="F201" s="340">
        <f t="shared" si="5"/>
        <v>4</v>
      </c>
      <c r="G201" s="340">
        <f t="shared" si="5"/>
        <v>5</v>
      </c>
      <c r="H201" s="340">
        <f t="shared" si="5"/>
        <v>6</v>
      </c>
      <c r="I201" s="340">
        <f t="shared" si="5"/>
        <v>7</v>
      </c>
      <c r="J201" s="401"/>
      <c r="K201" s="116"/>
      <c r="L201" s="9">
        <f aca="true" t="shared" si="6" ref="L201:L221">+L200+1</f>
        <v>3</v>
      </c>
      <c r="M201" s="3" t="s">
        <v>706</v>
      </c>
      <c r="N201" s="253">
        <f aca="true" t="shared" si="7" ref="N201:N221">+N200+0.05</f>
        <v>0.39999999999999997</v>
      </c>
      <c r="O201" s="476">
        <f>((N201/100)*'DISEÑO NORMAL'!$F$71)*1.19</f>
        <v>1.5489039999999998</v>
      </c>
      <c r="P201" s="9"/>
      <c r="Q201" s="9"/>
      <c r="R201" s="476"/>
      <c r="S201" s="124"/>
      <c r="T201" s="9"/>
      <c r="V201" s="98" t="s">
        <v>279</v>
      </c>
      <c r="W201" s="82"/>
      <c r="X201" s="160"/>
      <c r="Y201" s="262">
        <v>0.5</v>
      </c>
      <c r="Z201" s="263"/>
      <c r="AA201" s="264"/>
      <c r="AB201" s="178"/>
      <c r="AC201" s="9"/>
      <c r="AD201" s="9"/>
      <c r="AE201" s="9"/>
    </row>
    <row r="202" spans="1:31" ht="12.75">
      <c r="A202" s="116"/>
      <c r="B202" s="352"/>
      <c r="C202" s="410"/>
      <c r="D202" s="116"/>
      <c r="E202" s="116"/>
      <c r="F202" s="116"/>
      <c r="G202" s="398"/>
      <c r="H202" s="398"/>
      <c r="I202" s="401"/>
      <c r="J202" s="401"/>
      <c r="K202" s="116"/>
      <c r="L202" s="9">
        <f t="shared" si="6"/>
        <v>4</v>
      </c>
      <c r="M202" s="3" t="s">
        <v>706</v>
      </c>
      <c r="N202" s="253">
        <f t="shared" si="7"/>
        <v>0.44999999999999996</v>
      </c>
      <c r="O202" s="476">
        <f>((N202/100)*'DISEÑO NORMAL'!$F$71)*1.19</f>
        <v>1.7425169999999996</v>
      </c>
      <c r="P202" s="9"/>
      <c r="Q202" s="9"/>
      <c r="R202" s="476"/>
      <c r="S202" s="124"/>
      <c r="T202" s="9"/>
      <c r="V202" s="96" t="s">
        <v>281</v>
      </c>
      <c r="W202" s="9"/>
      <c r="X202" s="86"/>
      <c r="Y202" s="253"/>
      <c r="Z202" s="221"/>
      <c r="AA202" s="254"/>
      <c r="AB202" s="117"/>
      <c r="AC202" s="9"/>
      <c r="AD202" s="9"/>
      <c r="AE202" s="9"/>
    </row>
    <row r="203" spans="1:31" ht="12.75">
      <c r="A203" s="9"/>
      <c r="D203" s="116"/>
      <c r="E203" s="116"/>
      <c r="F203" s="116"/>
      <c r="G203" s="398"/>
      <c r="H203" s="398"/>
      <c r="I203" s="351"/>
      <c r="J203" s="401"/>
      <c r="K203" s="116"/>
      <c r="L203" s="9">
        <f t="shared" si="6"/>
        <v>5</v>
      </c>
      <c r="M203" s="3" t="s">
        <v>706</v>
      </c>
      <c r="N203" s="253">
        <f t="shared" si="7"/>
        <v>0.49999999999999994</v>
      </c>
      <c r="O203" s="476">
        <f>((N203/100)*'DISEÑO NORMAL'!$F$71)*1.19</f>
        <v>1.9361299999999995</v>
      </c>
      <c r="P203" s="9"/>
      <c r="Q203" s="9"/>
      <c r="R203" s="476"/>
      <c r="S203" s="124"/>
      <c r="T203" s="9"/>
      <c r="V203" s="96" t="s">
        <v>282</v>
      </c>
      <c r="W203" s="9"/>
      <c r="X203" s="86"/>
      <c r="Y203" s="253"/>
      <c r="Z203" s="221"/>
      <c r="AA203" s="254"/>
      <c r="AB203" s="117"/>
      <c r="AC203" s="9"/>
      <c r="AD203" s="9"/>
      <c r="AE203" s="9"/>
    </row>
    <row r="204" spans="1:31" ht="12.75">
      <c r="A204" s="9"/>
      <c r="D204" s="116"/>
      <c r="E204" s="116"/>
      <c r="F204" s="116"/>
      <c r="G204" s="398"/>
      <c r="H204" s="398"/>
      <c r="I204" s="351"/>
      <c r="J204" s="401"/>
      <c r="K204" s="116"/>
      <c r="L204" s="9">
        <f t="shared" si="6"/>
        <v>6</v>
      </c>
      <c r="M204" s="3" t="s">
        <v>706</v>
      </c>
      <c r="N204" s="253">
        <f t="shared" si="7"/>
        <v>0.5499999999999999</v>
      </c>
      <c r="O204" s="476">
        <f>((N204/100)*'DISEÑO NORMAL'!$F$71)*1.19</f>
        <v>2.129743</v>
      </c>
      <c r="P204" s="10"/>
      <c r="Q204" s="9"/>
      <c r="R204" s="476"/>
      <c r="S204" s="124"/>
      <c r="T204" s="9"/>
      <c r="V204" s="96" t="s">
        <v>283</v>
      </c>
      <c r="W204" s="9"/>
      <c r="X204" s="86"/>
      <c r="Y204" s="253">
        <v>0.4</v>
      </c>
      <c r="Z204" s="221"/>
      <c r="AA204" s="254">
        <v>325</v>
      </c>
      <c r="AB204" s="117"/>
      <c r="AC204" s="9"/>
      <c r="AD204" s="9"/>
      <c r="AE204" s="9"/>
    </row>
    <row r="205" spans="1:31" ht="12.75">
      <c r="A205" s="9"/>
      <c r="D205" s="116"/>
      <c r="E205" s="116"/>
      <c r="F205" s="116"/>
      <c r="G205" s="398"/>
      <c r="H205" s="398"/>
      <c r="I205" s="351"/>
      <c r="J205" s="401"/>
      <c r="K205" s="116"/>
      <c r="L205" s="9">
        <f t="shared" si="6"/>
        <v>7</v>
      </c>
      <c r="M205" s="3" t="s">
        <v>706</v>
      </c>
      <c r="N205" s="253">
        <f t="shared" si="7"/>
        <v>0.6</v>
      </c>
      <c r="O205" s="476">
        <f>((N205/100)*'DISEÑO NORMAL'!$F$71)*1.19</f>
        <v>2.323356</v>
      </c>
      <c r="P205" s="9"/>
      <c r="Q205" s="9"/>
      <c r="R205" s="476"/>
      <c r="S205" s="124"/>
      <c r="T205" s="9"/>
      <c r="V205" s="96"/>
      <c r="W205" s="9"/>
      <c r="X205" s="93"/>
      <c r="Y205" s="253"/>
      <c r="Z205" s="221"/>
      <c r="AA205" s="254"/>
      <c r="AB205" s="117"/>
      <c r="AC205" s="9"/>
      <c r="AD205" s="9"/>
      <c r="AE205" s="9"/>
    </row>
    <row r="206" spans="1:31" ht="12.75">
      <c r="A206" s="9"/>
      <c r="D206" s="116"/>
      <c r="E206" s="116"/>
      <c r="F206" s="116"/>
      <c r="G206" s="398"/>
      <c r="H206" s="398"/>
      <c r="I206" s="351"/>
      <c r="J206" s="401"/>
      <c r="K206" s="116"/>
      <c r="L206" s="9">
        <f t="shared" si="6"/>
        <v>8</v>
      </c>
      <c r="M206" s="3" t="s">
        <v>707</v>
      </c>
      <c r="N206" s="253">
        <f t="shared" si="7"/>
        <v>0.65</v>
      </c>
      <c r="O206" s="476">
        <f>((N206/100)*'DISEÑO NORMAL'!$F$71)*1.19</f>
        <v>2.516969</v>
      </c>
      <c r="P206" s="9"/>
      <c r="Q206" s="9"/>
      <c r="R206" s="476"/>
      <c r="S206" s="124"/>
      <c r="T206" s="9"/>
      <c r="V206" s="96" t="s">
        <v>284</v>
      </c>
      <c r="W206" s="9"/>
      <c r="X206" s="86"/>
      <c r="Y206" s="253">
        <v>0.45</v>
      </c>
      <c r="Z206" s="221"/>
      <c r="AA206" s="254">
        <v>300</v>
      </c>
      <c r="AB206" s="117"/>
      <c r="AC206" s="9"/>
      <c r="AD206" s="9"/>
      <c r="AE206" s="9"/>
    </row>
    <row r="207" spans="1:31" ht="13.5" thickBot="1">
      <c r="A207" s="9"/>
      <c r="D207" s="116"/>
      <c r="E207" s="116"/>
      <c r="F207" s="116"/>
      <c r="G207" s="398"/>
      <c r="H207" s="398"/>
      <c r="I207" s="351"/>
      <c r="J207" s="401"/>
      <c r="K207" s="116"/>
      <c r="L207" s="9">
        <f t="shared" si="6"/>
        <v>9</v>
      </c>
      <c r="M207" s="3" t="s">
        <v>707</v>
      </c>
      <c r="N207" s="253">
        <f t="shared" si="7"/>
        <v>0.7000000000000001</v>
      </c>
      <c r="O207" s="476">
        <f>((N207/100)*'DISEÑO NORMAL'!$F$71)*1.19</f>
        <v>2.710582</v>
      </c>
      <c r="P207" s="9"/>
      <c r="Q207" s="9"/>
      <c r="R207" s="476"/>
      <c r="S207" s="124"/>
      <c r="T207" s="9"/>
      <c r="V207" s="95" t="s">
        <v>285</v>
      </c>
      <c r="W207" s="88"/>
      <c r="X207" s="206"/>
      <c r="Y207" s="269"/>
      <c r="Z207" s="270"/>
      <c r="AA207" s="271"/>
      <c r="AB207" s="172"/>
      <c r="AC207" s="9"/>
      <c r="AD207" s="9"/>
      <c r="AE207" s="9"/>
    </row>
    <row r="208" spans="1:31" ht="12.75">
      <c r="A208" s="9"/>
      <c r="B208" s="9"/>
      <c r="C208" s="9"/>
      <c r="D208" s="9"/>
      <c r="E208" s="9"/>
      <c r="F208" s="210"/>
      <c r="G208" s="210"/>
      <c r="H208" s="9"/>
      <c r="I208" s="9"/>
      <c r="J208" s="9"/>
      <c r="K208" s="9"/>
      <c r="L208" s="9">
        <f t="shared" si="6"/>
        <v>10</v>
      </c>
      <c r="M208" s="3" t="s">
        <v>707</v>
      </c>
      <c r="N208" s="253">
        <f t="shared" si="7"/>
        <v>0.7500000000000001</v>
      </c>
      <c r="O208" s="476">
        <f>((N208/100)*'DISEÑO NORMAL'!$F$71)*1.19</f>
        <v>2.904195</v>
      </c>
      <c r="P208" s="9"/>
      <c r="Q208" s="9"/>
      <c r="R208" s="476"/>
      <c r="S208" s="124"/>
      <c r="T208" s="9"/>
      <c r="Z208" s="9"/>
      <c r="AA208" s="9"/>
      <c r="AB208" s="9"/>
      <c r="AC208" s="9"/>
      <c r="AD208" s="9"/>
      <c r="AE208" s="9"/>
    </row>
    <row r="209" spans="1:31" ht="12.75">
      <c r="A209" s="9"/>
      <c r="B209" s="9"/>
      <c r="C209" s="9"/>
      <c r="D209" s="9"/>
      <c r="E209" s="9"/>
      <c r="F209" s="210"/>
      <c r="G209" s="210"/>
      <c r="H209" s="9"/>
      <c r="I209" s="9"/>
      <c r="J209" s="9"/>
      <c r="K209" s="9"/>
      <c r="L209" s="9">
        <f t="shared" si="6"/>
        <v>11</v>
      </c>
      <c r="M209" s="3" t="s">
        <v>707</v>
      </c>
      <c r="N209" s="253">
        <f t="shared" si="7"/>
        <v>0.8000000000000002</v>
      </c>
      <c r="O209" s="476">
        <f>((N209/100)*'DISEÑO NORMAL'!$F$71)*1.19</f>
        <v>3.0978080000000006</v>
      </c>
      <c r="P209" s="9"/>
      <c r="Q209" s="9"/>
      <c r="R209" s="9"/>
      <c r="S209" s="9"/>
      <c r="T209" s="9"/>
      <c r="Z209" s="9"/>
      <c r="AA209" s="9"/>
      <c r="AB209" s="9"/>
      <c r="AC209" s="9"/>
      <c r="AD209" s="9"/>
      <c r="AE209" s="9"/>
    </row>
    <row r="210" spans="1:31" ht="12.75">
      <c r="A210" s="9"/>
      <c r="B210" s="9"/>
      <c r="C210" s="9"/>
      <c r="D210" s="164" t="s">
        <v>231</v>
      </c>
      <c r="E210" s="164"/>
      <c r="F210" s="164"/>
      <c r="G210" s="164"/>
      <c r="H210" s="9"/>
      <c r="I210" s="9"/>
      <c r="J210" s="9"/>
      <c r="K210" s="9"/>
      <c r="L210" s="9">
        <f t="shared" si="6"/>
        <v>12</v>
      </c>
      <c r="M210" s="3" t="s">
        <v>707</v>
      </c>
      <c r="N210" s="253">
        <f t="shared" si="7"/>
        <v>0.8500000000000002</v>
      </c>
      <c r="O210" s="476">
        <f>((N210/100)*'DISEÑO NORMAL'!$F$71)*1.19</f>
        <v>3.2914210000000006</v>
      </c>
      <c r="P210" s="9"/>
      <c r="Q210" s="9"/>
      <c r="R210" s="9"/>
      <c r="S210" s="9"/>
      <c r="T210" s="9"/>
      <c r="Z210" s="9"/>
      <c r="AA210" s="9"/>
      <c r="AB210" s="9"/>
      <c r="AC210" s="9"/>
      <c r="AD210" s="9"/>
      <c r="AE210" s="9"/>
    </row>
    <row r="211" spans="1:31" ht="13.5" thickBot="1">
      <c r="A211" s="9"/>
      <c r="B211" s="9"/>
      <c r="C211" s="9"/>
      <c r="D211" s="9"/>
      <c r="E211" s="9" t="s">
        <v>234</v>
      </c>
      <c r="F211" s="9"/>
      <c r="G211" s="9"/>
      <c r="H211" s="9"/>
      <c r="I211" s="9"/>
      <c r="J211" s="9"/>
      <c r="K211" s="9"/>
      <c r="L211" s="9">
        <f t="shared" si="6"/>
        <v>13</v>
      </c>
      <c r="M211" s="3" t="s">
        <v>707</v>
      </c>
      <c r="N211" s="253">
        <f t="shared" si="7"/>
        <v>0.9000000000000002</v>
      </c>
      <c r="O211" s="476">
        <f>((N211/100)*'DISEÑO NORMAL'!$F$71)*1.19</f>
        <v>3.4850340000000006</v>
      </c>
      <c r="P211" s="9"/>
      <c r="Q211" s="9"/>
      <c r="Z211" s="9"/>
      <c r="AA211" s="9"/>
      <c r="AB211" s="9"/>
      <c r="AC211" s="9"/>
      <c r="AD211" s="9"/>
      <c r="AE211" s="9"/>
    </row>
    <row r="212" spans="1:31" ht="12.75">
      <c r="A212" s="9"/>
      <c r="B212" s="79"/>
      <c r="C212" s="857" t="s">
        <v>238</v>
      </c>
      <c r="D212" s="858"/>
      <c r="E212" s="80"/>
      <c r="F212" s="251"/>
      <c r="G212" s="81"/>
      <c r="H212" s="857" t="s">
        <v>239</v>
      </c>
      <c r="I212" s="850"/>
      <c r="J212" s="9"/>
      <c r="K212" s="9"/>
      <c r="L212" s="9">
        <f t="shared" si="6"/>
        <v>14</v>
      </c>
      <c r="M212" s="3" t="s">
        <v>707</v>
      </c>
      <c r="N212" s="253">
        <f t="shared" si="7"/>
        <v>0.9500000000000003</v>
      </c>
      <c r="O212" s="476">
        <f>((N212/100)*'DISEÑO NORMAL'!$F$71)*1.19</f>
        <v>3.6786470000000007</v>
      </c>
      <c r="P212" s="9"/>
      <c r="Q212" s="9"/>
      <c r="Z212" s="9"/>
      <c r="AA212" s="9"/>
      <c r="AB212" s="9"/>
      <c r="AC212" s="9"/>
      <c r="AD212" s="9"/>
      <c r="AE212" s="9"/>
    </row>
    <row r="213" spans="1:31" ht="12.75">
      <c r="A213" s="9"/>
      <c r="B213" s="53" t="s">
        <v>191</v>
      </c>
      <c r="C213" s="859" t="s">
        <v>244</v>
      </c>
      <c r="D213" s="856"/>
      <c r="E213" s="851" t="s">
        <v>245</v>
      </c>
      <c r="F213" s="856"/>
      <c r="G213" s="85" t="s">
        <v>223</v>
      </c>
      <c r="H213" s="859" t="s">
        <v>246</v>
      </c>
      <c r="I213" s="852"/>
      <c r="J213" s="9"/>
      <c r="K213" s="9"/>
      <c r="L213" s="9">
        <f t="shared" si="6"/>
        <v>15</v>
      </c>
      <c r="M213" s="3" t="s">
        <v>707</v>
      </c>
      <c r="N213" s="253">
        <f t="shared" si="7"/>
        <v>1.0000000000000002</v>
      </c>
      <c r="O213" s="476">
        <f>((N213/100)*'DISEÑO NORMAL'!$F$71)*1.19</f>
        <v>3.8722600000000003</v>
      </c>
      <c r="P213" s="9"/>
      <c r="Q213" s="9"/>
      <c r="Z213" s="9"/>
      <c r="AA213" s="9"/>
      <c r="AB213" s="9"/>
      <c r="AC213" s="9"/>
      <c r="AD213" s="9"/>
      <c r="AE213" s="9"/>
    </row>
    <row r="214" spans="1:31" ht="12.75">
      <c r="A214" s="9"/>
      <c r="B214" s="53" t="s">
        <v>251</v>
      </c>
      <c r="C214" s="859" t="s">
        <v>252</v>
      </c>
      <c r="D214" s="856"/>
      <c r="E214" s="851" t="s">
        <v>253</v>
      </c>
      <c r="F214" s="856"/>
      <c r="G214" s="85" t="s">
        <v>254</v>
      </c>
      <c r="H214" s="859" t="s">
        <v>255</v>
      </c>
      <c r="I214" s="852"/>
      <c r="J214" s="9"/>
      <c r="K214" s="9"/>
      <c r="L214" s="9">
        <f t="shared" si="6"/>
        <v>16</v>
      </c>
      <c r="M214" s="3" t="s">
        <v>707</v>
      </c>
      <c r="N214" s="253">
        <f t="shared" si="7"/>
        <v>1.0500000000000003</v>
      </c>
      <c r="O214" s="476">
        <f>((N214/100)*'DISEÑO NORMAL'!$F$71)*1.19</f>
        <v>4.065873000000001</v>
      </c>
      <c r="P214" s="9"/>
      <c r="Q214" s="9"/>
      <c r="Z214" s="9"/>
      <c r="AA214" s="9"/>
      <c r="AB214" s="9"/>
      <c r="AC214" s="9"/>
      <c r="AD214" s="9"/>
      <c r="AE214" s="9"/>
    </row>
    <row r="215" spans="1:31" ht="13.5" thickBot="1">
      <c r="A215" s="9"/>
      <c r="B215" s="87" t="s">
        <v>258</v>
      </c>
      <c r="C215" s="847" t="s">
        <v>259</v>
      </c>
      <c r="D215" s="848"/>
      <c r="E215" s="899" t="s">
        <v>3</v>
      </c>
      <c r="F215" s="848"/>
      <c r="G215" s="57"/>
      <c r="H215" s="847" t="s">
        <v>260</v>
      </c>
      <c r="I215" s="901"/>
      <c r="J215" s="9"/>
      <c r="K215" s="9"/>
      <c r="L215" s="9">
        <f t="shared" si="6"/>
        <v>17</v>
      </c>
      <c r="M215" s="3" t="s">
        <v>707</v>
      </c>
      <c r="N215" s="253">
        <f t="shared" si="7"/>
        <v>1.1000000000000003</v>
      </c>
      <c r="O215" s="476">
        <f>((N215/100)*'DISEÑO NORMAL'!$F$71)*1.19</f>
        <v>4.259486000000001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2.75">
      <c r="A216" s="9"/>
      <c r="B216" s="92"/>
      <c r="C216" s="10" t="s">
        <v>262</v>
      </c>
      <c r="D216" s="85" t="s">
        <v>5</v>
      </c>
      <c r="E216" s="10" t="s">
        <v>262</v>
      </c>
      <c r="F216" s="85" t="s">
        <v>5</v>
      </c>
      <c r="G216" s="85"/>
      <c r="H216" s="9"/>
      <c r="I216" s="117"/>
      <c r="J216" s="9"/>
      <c r="K216" s="9"/>
      <c r="L216" s="9">
        <f t="shared" si="6"/>
        <v>18</v>
      </c>
      <c r="M216" s="3" t="s">
        <v>707</v>
      </c>
      <c r="N216" s="253">
        <f t="shared" si="7"/>
        <v>1.1500000000000004</v>
      </c>
      <c r="O216" s="476">
        <f>((N216/100)*'DISEÑO NORMAL'!$F$71)*1.19</f>
        <v>4.453099000000001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2.75">
      <c r="A217" s="9"/>
      <c r="B217" s="92" t="s">
        <v>264</v>
      </c>
      <c r="C217" s="253">
        <v>0</v>
      </c>
      <c r="D217" s="255">
        <v>0.1</v>
      </c>
      <c r="E217" s="256">
        <v>0</v>
      </c>
      <c r="F217" s="257">
        <v>150</v>
      </c>
      <c r="G217" s="258" t="s">
        <v>137</v>
      </c>
      <c r="H217" s="259" t="s">
        <v>137</v>
      </c>
      <c r="I217" s="117"/>
      <c r="J217" s="9"/>
      <c r="K217" s="9"/>
      <c r="L217" s="9">
        <f t="shared" si="6"/>
        <v>19</v>
      </c>
      <c r="M217" s="3" t="s">
        <v>707</v>
      </c>
      <c r="N217" s="253">
        <f t="shared" si="7"/>
        <v>1.2000000000000004</v>
      </c>
      <c r="O217" s="476">
        <f>((N217/100)*'DISEÑO NORMAL'!$F$71)*1.19</f>
        <v>4.646712000000001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2.75">
      <c r="A218" s="9"/>
      <c r="B218" s="92" t="s">
        <v>193</v>
      </c>
      <c r="C218" s="253">
        <v>0.1</v>
      </c>
      <c r="D218" s="255">
        <v>0.2</v>
      </c>
      <c r="E218" s="260">
        <v>150</v>
      </c>
      <c r="F218" s="257">
        <v>1500</v>
      </c>
      <c r="G218" s="85" t="s">
        <v>267</v>
      </c>
      <c r="H218" s="261">
        <v>0.5</v>
      </c>
      <c r="I218" s="117"/>
      <c r="J218" s="9"/>
      <c r="K218" s="9"/>
      <c r="L218" s="9">
        <f t="shared" si="6"/>
        <v>20</v>
      </c>
      <c r="M218" s="3" t="s">
        <v>707</v>
      </c>
      <c r="N218" s="253">
        <f t="shared" si="7"/>
        <v>1.2500000000000004</v>
      </c>
      <c r="O218" s="476">
        <f>((N218/100)*'DISEÑO NORMAL'!$F$71)*1.19</f>
        <v>4.840325000000001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2.75">
      <c r="A219" s="9"/>
      <c r="B219" s="92" t="s">
        <v>194</v>
      </c>
      <c r="C219" s="253">
        <v>0.2</v>
      </c>
      <c r="D219" s="255">
        <v>2</v>
      </c>
      <c r="E219" s="260">
        <v>1500</v>
      </c>
      <c r="F219" s="257">
        <v>10000</v>
      </c>
      <c r="G219" s="85" t="s">
        <v>49</v>
      </c>
      <c r="H219" s="261">
        <v>0.45</v>
      </c>
      <c r="I219" s="117"/>
      <c r="J219" s="9"/>
      <c r="K219" s="9"/>
      <c r="L219" s="9">
        <f t="shared" si="6"/>
        <v>21</v>
      </c>
      <c r="M219" s="3" t="s">
        <v>707</v>
      </c>
      <c r="N219" s="253">
        <f t="shared" si="7"/>
        <v>1.3000000000000005</v>
      </c>
      <c r="O219" s="476">
        <f>((N219/100)*'DISEÑO NORMAL'!$F$71)*1.19</f>
        <v>5.033938000000001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3.5" thickBot="1">
      <c r="A220" s="9"/>
      <c r="B220" s="90" t="s">
        <v>272</v>
      </c>
      <c r="C220" s="265" t="s">
        <v>273</v>
      </c>
      <c r="D220" s="266">
        <v>2</v>
      </c>
      <c r="E220" s="265" t="s">
        <v>273</v>
      </c>
      <c r="F220" s="267">
        <v>10000</v>
      </c>
      <c r="G220" s="57" t="s">
        <v>274</v>
      </c>
      <c r="H220" s="268">
        <v>0.45</v>
      </c>
      <c r="I220" s="172"/>
      <c r="J220" s="9"/>
      <c r="K220" s="9"/>
      <c r="L220" s="9">
        <f t="shared" si="6"/>
        <v>22</v>
      </c>
      <c r="M220" s="3" t="s">
        <v>707</v>
      </c>
      <c r="N220" s="253">
        <f t="shared" si="7"/>
        <v>1.3500000000000005</v>
      </c>
      <c r="O220" s="476">
        <f>((N220/100)*'DISEÑO NORMAL'!$F$71)*1.19</f>
        <v>5.227551000000001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2.75">
      <c r="A221" s="9"/>
      <c r="B221" s="9"/>
      <c r="H221" s="9"/>
      <c r="I221" s="9"/>
      <c r="J221" s="9"/>
      <c r="K221" s="9"/>
      <c r="L221" s="9">
        <f t="shared" si="6"/>
        <v>23</v>
      </c>
      <c r="M221" s="3" t="s">
        <v>707</v>
      </c>
      <c r="N221" s="253">
        <f t="shared" si="7"/>
        <v>1.4000000000000006</v>
      </c>
      <c r="O221" s="476">
        <f>((N221/100)*'DISEÑO NORMAL'!$F$71)*1.19</f>
        <v>5.421164000000002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2.75">
      <c r="A222" s="9"/>
      <c r="B222" s="9"/>
      <c r="C222" s="164" t="s">
        <v>232</v>
      </c>
      <c r="D222" s="164"/>
      <c r="E222" s="164"/>
      <c r="F222" s="9"/>
      <c r="H222" s="9"/>
      <c r="I222" s="9"/>
      <c r="J222" s="9"/>
      <c r="K222" s="9"/>
      <c r="L222" s="9"/>
      <c r="N222" s="253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3.5" thickBot="1">
      <c r="A223" s="9"/>
      <c r="B223" s="9"/>
      <c r="C223" s="9"/>
      <c r="D223" s="9" t="s">
        <v>235</v>
      </c>
      <c r="E223" s="9"/>
      <c r="F223" s="9"/>
      <c r="H223" s="9"/>
      <c r="I223" s="9"/>
      <c r="J223" s="9"/>
      <c r="K223" s="9"/>
      <c r="L223" s="9"/>
      <c r="M223" s="322">
        <v>15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2.75">
      <c r="A224" s="9"/>
      <c r="B224" s="94"/>
      <c r="C224" s="80"/>
      <c r="D224" s="251"/>
      <c r="E224" s="857" t="s">
        <v>240</v>
      </c>
      <c r="F224" s="858"/>
      <c r="H224" s="9"/>
      <c r="I224" s="9"/>
      <c r="J224" s="9"/>
      <c r="K224" s="9"/>
      <c r="L224" s="9"/>
      <c r="M224" s="418" t="s">
        <v>676</v>
      </c>
      <c r="N224" s="9" t="s">
        <v>680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2.75">
      <c r="A225" s="9"/>
      <c r="B225" s="853" t="s">
        <v>247</v>
      </c>
      <c r="C225" s="854"/>
      <c r="D225" s="855"/>
      <c r="E225" s="851" t="s">
        <v>248</v>
      </c>
      <c r="F225" s="856"/>
      <c r="H225" s="9"/>
      <c r="I225" s="9"/>
      <c r="J225" s="9"/>
      <c r="K225" s="9"/>
      <c r="L225" s="9"/>
      <c r="M225" s="418" t="s">
        <v>677</v>
      </c>
      <c r="N225" s="477">
        <f>VLOOKUP(M223,tabla41,4)</f>
        <v>2.904195</v>
      </c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2.75">
      <c r="A226" s="9"/>
      <c r="B226" s="96"/>
      <c r="C226" s="9"/>
      <c r="D226" s="93"/>
      <c r="E226" s="859" t="s">
        <v>256</v>
      </c>
      <c r="F226" s="856"/>
      <c r="H226" s="9"/>
      <c r="I226" s="9"/>
      <c r="J226" s="9"/>
      <c r="K226" s="9"/>
      <c r="L226" s="9"/>
      <c r="M226" s="418">
        <f>+'DISEÑO NORMAL'!$J$94</f>
        <v>28.051948051948052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3.5" thickBot="1">
      <c r="A227" s="9"/>
      <c r="B227" s="95"/>
      <c r="C227" s="88"/>
      <c r="D227" s="206"/>
      <c r="E227" s="847" t="s">
        <v>261</v>
      </c>
      <c r="F227" s="848"/>
      <c r="G227" s="9"/>
      <c r="H227" s="9"/>
      <c r="I227" s="9"/>
      <c r="J227" s="9"/>
      <c r="K227" s="9"/>
      <c r="L227" s="9"/>
      <c r="M227" s="9"/>
      <c r="N227" s="253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2.75">
      <c r="A228" s="9"/>
      <c r="B228" s="96"/>
      <c r="C228" s="9"/>
      <c r="D228" s="93"/>
      <c r="E228" s="9"/>
      <c r="F228" s="221"/>
      <c r="G228" s="9"/>
      <c r="H228" s="9"/>
      <c r="I228" s="9"/>
      <c r="J228" s="9"/>
      <c r="K228" s="9"/>
      <c r="L228" s="870" t="s">
        <v>712</v>
      </c>
      <c r="M228" s="872" t="s">
        <v>693</v>
      </c>
      <c r="N228" s="873"/>
      <c r="O228" s="874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2.75">
      <c r="A229" s="9"/>
      <c r="B229" s="96" t="s">
        <v>265</v>
      </c>
      <c r="C229" s="9"/>
      <c r="D229" s="93"/>
      <c r="E229" s="253">
        <v>0.06</v>
      </c>
      <c r="F229" s="221"/>
      <c r="G229" s="9"/>
      <c r="H229" s="9"/>
      <c r="I229" s="9"/>
      <c r="J229" s="9"/>
      <c r="K229" s="9"/>
      <c r="L229" s="871"/>
      <c r="M229" s="625" t="s">
        <v>713</v>
      </c>
      <c r="N229" s="625" t="s">
        <v>714</v>
      </c>
      <c r="O229" s="625" t="s">
        <v>715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2.75">
      <c r="A230" s="9"/>
      <c r="B230" s="96" t="s">
        <v>268</v>
      </c>
      <c r="C230" s="9"/>
      <c r="D230" s="86"/>
      <c r="E230" s="253"/>
      <c r="F230" s="221"/>
      <c r="G230" s="9"/>
      <c r="H230" s="9"/>
      <c r="I230" s="9"/>
      <c r="J230" s="9"/>
      <c r="K230" s="9"/>
      <c r="L230" s="625">
        <v>1</v>
      </c>
      <c r="M230" s="906">
        <v>0</v>
      </c>
      <c r="N230" s="627">
        <v>1190</v>
      </c>
      <c r="O230" s="626">
        <f>(10000*M230)/$N$230</f>
        <v>0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2.75">
      <c r="A231" s="9"/>
      <c r="B231" s="96" t="s">
        <v>270</v>
      </c>
      <c r="C231" s="9"/>
      <c r="D231" s="93"/>
      <c r="E231" s="253">
        <v>0.15</v>
      </c>
      <c r="F231" s="221"/>
      <c r="G231" s="9"/>
      <c r="H231" s="9"/>
      <c r="I231" s="9"/>
      <c r="J231" s="9"/>
      <c r="K231" s="9"/>
      <c r="L231" s="628">
        <v>2</v>
      </c>
      <c r="M231" s="629">
        <v>0.3</v>
      </c>
      <c r="N231" s="630">
        <v>1190</v>
      </c>
      <c r="O231" s="629">
        <f aca="true" t="shared" si="8" ref="O231:O242">(10000*M231)/$N$230</f>
        <v>2.5210084033613445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2.75">
      <c r="A232" s="9"/>
      <c r="B232" s="96"/>
      <c r="C232" s="9"/>
      <c r="D232" s="93"/>
      <c r="E232" s="253"/>
      <c r="F232" s="221"/>
      <c r="G232" s="9"/>
      <c r="H232" s="9"/>
      <c r="I232" s="9"/>
      <c r="J232" s="9"/>
      <c r="K232" s="9"/>
      <c r="L232" s="628">
        <v>3</v>
      </c>
      <c r="M232" s="629">
        <v>0.4</v>
      </c>
      <c r="N232" s="630">
        <v>1190</v>
      </c>
      <c r="O232" s="629">
        <f t="shared" si="8"/>
        <v>3.361344537815126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2.75">
      <c r="A233" s="9"/>
      <c r="B233" s="96" t="s">
        <v>276</v>
      </c>
      <c r="C233" s="9"/>
      <c r="D233" s="86"/>
      <c r="E233" s="253"/>
      <c r="F233" s="221"/>
      <c r="G233" s="9"/>
      <c r="H233" s="9"/>
      <c r="I233" s="9"/>
      <c r="J233" s="9"/>
      <c r="K233" s="9"/>
      <c r="L233" s="628">
        <v>4</v>
      </c>
      <c r="M233" s="629">
        <v>0.5</v>
      </c>
      <c r="N233" s="630">
        <v>1190</v>
      </c>
      <c r="O233" s="629">
        <f t="shared" si="8"/>
        <v>4.201680672268908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">
      <c r="A234" s="9"/>
      <c r="B234" s="96" t="s">
        <v>277</v>
      </c>
      <c r="C234" s="9"/>
      <c r="D234" s="86"/>
      <c r="E234" s="253">
        <v>1</v>
      </c>
      <c r="F234" s="221"/>
      <c r="G234" s="9"/>
      <c r="H234" s="9"/>
      <c r="I234" s="9"/>
      <c r="J234" s="9"/>
      <c r="K234" s="9"/>
      <c r="L234" s="628">
        <v>5</v>
      </c>
      <c r="M234" s="631">
        <v>0.6</v>
      </c>
      <c r="N234" s="630">
        <v>1190</v>
      </c>
      <c r="O234" s="629">
        <f t="shared" si="8"/>
        <v>5.042016806722689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2.75">
      <c r="A235" s="9"/>
      <c r="B235" s="96"/>
      <c r="C235" s="9"/>
      <c r="D235" s="93"/>
      <c r="E235" s="253"/>
      <c r="F235" s="221"/>
      <c r="G235" s="9"/>
      <c r="H235" s="9"/>
      <c r="I235" s="9"/>
      <c r="J235" s="9"/>
      <c r="K235" s="9"/>
      <c r="L235" s="628">
        <v>6</v>
      </c>
      <c r="M235" s="629">
        <v>0.7</v>
      </c>
      <c r="N235" s="630">
        <v>1190</v>
      </c>
      <c r="O235" s="629">
        <f t="shared" si="8"/>
        <v>5.882352941176471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2.75">
      <c r="A236" s="9"/>
      <c r="B236" s="96" t="s">
        <v>280</v>
      </c>
      <c r="C236" s="9"/>
      <c r="D236" s="86"/>
      <c r="E236" s="253">
        <v>0.3</v>
      </c>
      <c r="F236" s="221"/>
      <c r="G236" s="9"/>
      <c r="H236" s="9"/>
      <c r="I236" s="9"/>
      <c r="J236" s="9"/>
      <c r="K236" s="9"/>
      <c r="L236" s="628">
        <v>7</v>
      </c>
      <c r="M236" s="629">
        <v>0.8</v>
      </c>
      <c r="N236" s="630">
        <v>1190</v>
      </c>
      <c r="O236" s="629">
        <f t="shared" si="8"/>
        <v>6.722689075630252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3.5" thickBot="1">
      <c r="A237" s="9"/>
      <c r="B237" s="95"/>
      <c r="C237" s="88"/>
      <c r="D237" s="206"/>
      <c r="E237" s="269"/>
      <c r="F237" s="270"/>
      <c r="G237" s="9"/>
      <c r="H237" s="9"/>
      <c r="I237" s="9"/>
      <c r="J237" s="9"/>
      <c r="K237" s="9"/>
      <c r="L237" s="628">
        <v>8</v>
      </c>
      <c r="M237" s="629">
        <v>0.9</v>
      </c>
      <c r="N237" s="630">
        <v>1190</v>
      </c>
      <c r="O237" s="629">
        <f t="shared" si="8"/>
        <v>7.563025210084033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2.75">
      <c r="A238" s="9"/>
      <c r="B238" s="116"/>
      <c r="C238" s="116"/>
      <c r="D238" s="116"/>
      <c r="E238" s="398"/>
      <c r="F238" s="351"/>
      <c r="G238" s="9"/>
      <c r="H238" s="9"/>
      <c r="I238" s="9"/>
      <c r="J238" s="9"/>
      <c r="K238" s="9"/>
      <c r="L238" s="628">
        <v>9</v>
      </c>
      <c r="M238" s="629">
        <v>1</v>
      </c>
      <c r="N238" s="630">
        <v>1190</v>
      </c>
      <c r="O238" s="629">
        <f t="shared" si="8"/>
        <v>8.403361344537815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2.75">
      <c r="A239" s="9"/>
      <c r="B239" s="116"/>
      <c r="C239" s="116"/>
      <c r="D239" s="116"/>
      <c r="E239" s="398"/>
      <c r="F239" s="351"/>
      <c r="G239" s="9"/>
      <c r="H239" s="9"/>
      <c r="I239" s="9"/>
      <c r="J239" s="9"/>
      <c r="K239" s="9"/>
      <c r="L239" s="628">
        <v>10</v>
      </c>
      <c r="M239" s="629">
        <v>1.1</v>
      </c>
      <c r="N239" s="630">
        <v>1190</v>
      </c>
      <c r="O239" s="629">
        <f t="shared" si="8"/>
        <v>9.243697478991596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2.75">
      <c r="A240" s="190">
        <v>7</v>
      </c>
      <c r="B240" s="191" t="s">
        <v>286</v>
      </c>
      <c r="C240" s="191"/>
      <c r="D240" s="191"/>
      <c r="E240" s="9"/>
      <c r="F240" s="210"/>
      <c r="G240" s="210"/>
      <c r="H240" s="9"/>
      <c r="I240" s="9"/>
      <c r="J240" s="9"/>
      <c r="K240" s="9"/>
      <c r="L240" s="628">
        <v>11</v>
      </c>
      <c r="M240" s="629">
        <v>1.2</v>
      </c>
      <c r="N240" s="630">
        <v>1190</v>
      </c>
      <c r="O240" s="629">
        <f t="shared" si="8"/>
        <v>10.084033613445378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2.75">
      <c r="A241" s="9"/>
      <c r="B241" s="9"/>
      <c r="C241" s="9"/>
      <c r="D241" s="9"/>
      <c r="E241" s="9"/>
      <c r="F241" s="210"/>
      <c r="G241" s="210"/>
      <c r="H241" s="9"/>
      <c r="I241" s="9"/>
      <c r="J241" s="9"/>
      <c r="K241" s="9"/>
      <c r="L241" s="628">
        <v>12</v>
      </c>
      <c r="M241" s="629">
        <v>1.3</v>
      </c>
      <c r="N241" s="630">
        <v>1190</v>
      </c>
      <c r="O241" s="629">
        <f t="shared" si="8"/>
        <v>10.92436974789916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2.75">
      <c r="A242" s="9"/>
      <c r="B242" s="9"/>
      <c r="C242" s="164" t="s">
        <v>287</v>
      </c>
      <c r="D242" s="164"/>
      <c r="E242" s="164"/>
      <c r="F242" s="164"/>
      <c r="G242" s="164"/>
      <c r="H242" s="164"/>
      <c r="I242" s="9"/>
      <c r="J242" s="9"/>
      <c r="K242" s="9"/>
      <c r="L242" s="632">
        <v>13</v>
      </c>
      <c r="M242" s="633">
        <v>1.4</v>
      </c>
      <c r="N242" s="634">
        <v>1190</v>
      </c>
      <c r="O242" s="633">
        <f t="shared" si="8"/>
        <v>11.764705882352942</v>
      </c>
      <c r="Q242" s="164" t="s">
        <v>288</v>
      </c>
      <c r="R242" s="164"/>
      <c r="S242" s="164"/>
      <c r="T242" s="164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3.5" thickBot="1">
      <c r="A243" s="9"/>
      <c r="B243" s="9"/>
      <c r="C243" s="9"/>
      <c r="D243" s="9"/>
      <c r="E243" s="9" t="s">
        <v>289</v>
      </c>
      <c r="F243" s="9"/>
      <c r="G243" s="9"/>
      <c r="H243" s="9"/>
      <c r="I243" s="9"/>
      <c r="J243" s="9"/>
      <c r="K243" s="9"/>
      <c r="L243" s="635">
        <v>11</v>
      </c>
      <c r="M243" s="636"/>
      <c r="N243" s="512"/>
      <c r="O243" s="512"/>
      <c r="Q243" s="9"/>
      <c r="R243" s="9"/>
      <c r="S243" s="9" t="s">
        <v>290</v>
      </c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2.75">
      <c r="A244" s="9"/>
      <c r="B244" s="119"/>
      <c r="C244" s="857" t="s">
        <v>291</v>
      </c>
      <c r="D244" s="881"/>
      <c r="E244" s="881"/>
      <c r="F244" s="881"/>
      <c r="G244" s="881"/>
      <c r="H244" s="881"/>
      <c r="I244" s="881"/>
      <c r="J244" s="850"/>
      <c r="K244" s="9"/>
      <c r="Q244" s="119" t="s">
        <v>292</v>
      </c>
      <c r="R244" s="857" t="s">
        <v>293</v>
      </c>
      <c r="S244" s="881"/>
      <c r="T244" s="881"/>
      <c r="U244" s="850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3.5" thickBot="1">
      <c r="A245" s="9"/>
      <c r="B245" s="192" t="s">
        <v>63</v>
      </c>
      <c r="C245" s="847" t="s">
        <v>72</v>
      </c>
      <c r="D245" s="905"/>
      <c r="E245" s="905"/>
      <c r="F245" s="905"/>
      <c r="G245" s="905"/>
      <c r="H245" s="905"/>
      <c r="I245" s="905"/>
      <c r="J245" s="901"/>
      <c r="K245" s="9"/>
      <c r="Q245" s="192" t="s">
        <v>294</v>
      </c>
      <c r="R245" s="838" t="s">
        <v>225</v>
      </c>
      <c r="S245" s="880"/>
      <c r="T245" s="880"/>
      <c r="U245" s="842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2.75">
      <c r="A246" s="9"/>
      <c r="B246" s="192" t="s">
        <v>71</v>
      </c>
      <c r="C246" s="875" t="s">
        <v>295</v>
      </c>
      <c r="D246" s="876"/>
      <c r="E246" s="876"/>
      <c r="F246" s="876"/>
      <c r="G246" s="876"/>
      <c r="H246" s="876"/>
      <c r="I246" s="876"/>
      <c r="J246" s="877"/>
      <c r="K246" s="9"/>
      <c r="Q246" s="53" t="s">
        <v>296</v>
      </c>
      <c r="R246" s="837" t="s">
        <v>297</v>
      </c>
      <c r="S246" s="741"/>
      <c r="T246" s="740" t="s">
        <v>298</v>
      </c>
      <c r="U246" s="846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3.5" thickBot="1">
      <c r="A247" s="9"/>
      <c r="B247" s="273" t="s">
        <v>73</v>
      </c>
      <c r="C247" s="87">
        <v>2.3</v>
      </c>
      <c r="D247" s="274">
        <v>2.4</v>
      </c>
      <c r="E247" s="57">
        <v>2.5</v>
      </c>
      <c r="F247" s="274">
        <v>2.6</v>
      </c>
      <c r="G247" s="57">
        <v>2.7</v>
      </c>
      <c r="H247" s="274">
        <v>2.8</v>
      </c>
      <c r="I247" s="57">
        <v>2.9</v>
      </c>
      <c r="J247" s="275">
        <v>3</v>
      </c>
      <c r="K247" s="9"/>
      <c r="Q247" s="53" t="s">
        <v>177</v>
      </c>
      <c r="R247" s="838" t="s">
        <v>224</v>
      </c>
      <c r="S247" s="843"/>
      <c r="T247" s="841" t="s">
        <v>224</v>
      </c>
      <c r="U247" s="842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2.75">
      <c r="A248" s="9">
        <v>1</v>
      </c>
      <c r="B248" s="252" t="s">
        <v>64</v>
      </c>
      <c r="C248" s="276">
        <f aca="true" t="shared" si="9" ref="C248:C255">+D248+0.01</f>
        <v>0.51</v>
      </c>
      <c r="D248" s="277">
        <v>0.5</v>
      </c>
      <c r="E248" s="278">
        <f aca="true" t="shared" si="10" ref="E248:E255">+(D248+F248)/2</f>
        <v>0.49</v>
      </c>
      <c r="F248" s="278">
        <v>0.48</v>
      </c>
      <c r="G248" s="278">
        <f aca="true" t="shared" si="11" ref="G248:G255">+(F248+H248)/2</f>
        <v>0.47</v>
      </c>
      <c r="H248" s="278">
        <v>0.46</v>
      </c>
      <c r="I248" s="278">
        <f aca="true" t="shared" si="12" ref="I248:I255">+(H248+J248)/2</f>
        <v>0.45</v>
      </c>
      <c r="J248" s="279">
        <v>0.44</v>
      </c>
      <c r="K248" s="9"/>
      <c r="L248" s="8"/>
      <c r="Q248" s="280" t="s">
        <v>64</v>
      </c>
      <c r="R248" s="9">
        <v>2280</v>
      </c>
      <c r="S248" s="93"/>
      <c r="T248" s="9">
        <v>2200</v>
      </c>
      <c r="U248" s="117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2.75">
      <c r="A249" s="9">
        <v>2</v>
      </c>
      <c r="B249" s="252" t="s">
        <v>65</v>
      </c>
      <c r="C249" s="276">
        <f t="shared" si="9"/>
        <v>0.6</v>
      </c>
      <c r="D249" s="277">
        <v>0.59</v>
      </c>
      <c r="E249" s="278">
        <f t="shared" si="10"/>
        <v>0.58</v>
      </c>
      <c r="F249" s="278">
        <v>0.57</v>
      </c>
      <c r="G249" s="278">
        <f t="shared" si="11"/>
        <v>0.56</v>
      </c>
      <c r="H249" s="278">
        <v>0.55</v>
      </c>
      <c r="I249" s="278">
        <f t="shared" si="12"/>
        <v>0.54</v>
      </c>
      <c r="J249" s="279">
        <v>0.53</v>
      </c>
      <c r="K249" s="10"/>
      <c r="L249" s="10" t="s">
        <v>457</v>
      </c>
      <c r="M249" s="10" t="s">
        <v>458</v>
      </c>
      <c r="Q249" s="252" t="s">
        <v>65</v>
      </c>
      <c r="R249" s="232">
        <v>2310</v>
      </c>
      <c r="S249" s="93"/>
      <c r="T249" s="9">
        <v>2230</v>
      </c>
      <c r="U249" s="117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2.75">
      <c r="A250" s="9">
        <v>3</v>
      </c>
      <c r="B250" s="252" t="s">
        <v>66</v>
      </c>
      <c r="C250" s="276">
        <f t="shared" si="9"/>
        <v>0.67</v>
      </c>
      <c r="D250" s="277">
        <v>0.66</v>
      </c>
      <c r="E250" s="278">
        <f t="shared" si="10"/>
        <v>0.65</v>
      </c>
      <c r="F250" s="278">
        <v>0.64</v>
      </c>
      <c r="G250" s="278">
        <f t="shared" si="11"/>
        <v>0.63</v>
      </c>
      <c r="H250" s="278">
        <v>0.62</v>
      </c>
      <c r="I250" s="278">
        <f t="shared" si="12"/>
        <v>0.61</v>
      </c>
      <c r="J250" s="279">
        <v>0.6</v>
      </c>
      <c r="K250" s="9" t="s">
        <v>401</v>
      </c>
      <c r="L250" s="290">
        <f>ROUND('DISEÑO NORMAL'!H33,1)</f>
        <v>2.8</v>
      </c>
      <c r="M250" s="369">
        <f>IF(L250=2.3,3,IF(L250=2.4,4,IF(L250=2.5,5,IF(L250=2.6,6,IF(L250=2.7,7,IF(L250=2.8,8,IF(L250=2.9,9,IF(L250=3,10))))))))</f>
        <v>8</v>
      </c>
      <c r="Q250" s="252" t="s">
        <v>66</v>
      </c>
      <c r="R250" s="232">
        <v>2345</v>
      </c>
      <c r="S250" s="93"/>
      <c r="T250" s="9">
        <v>2275</v>
      </c>
      <c r="U250" s="117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2.75">
      <c r="A251" s="9">
        <v>4</v>
      </c>
      <c r="B251" s="252" t="s">
        <v>67</v>
      </c>
      <c r="C251" s="276">
        <f t="shared" si="9"/>
        <v>0.72</v>
      </c>
      <c r="D251" s="277">
        <v>0.71</v>
      </c>
      <c r="E251" s="278">
        <f t="shared" si="10"/>
        <v>0.7</v>
      </c>
      <c r="F251" s="278">
        <v>0.69</v>
      </c>
      <c r="G251" s="278">
        <f t="shared" si="11"/>
        <v>0.6799999999999999</v>
      </c>
      <c r="H251" s="278">
        <v>0.67</v>
      </c>
      <c r="I251" s="278">
        <f t="shared" si="12"/>
        <v>0.66</v>
      </c>
      <c r="J251" s="279">
        <v>0.65</v>
      </c>
      <c r="K251" s="323">
        <f>+N126</f>
        <v>2</v>
      </c>
      <c r="L251" s="368">
        <f>VLOOKUP(K251,tabla50,M250)</f>
        <v>0.55</v>
      </c>
      <c r="M251" s="5" t="s">
        <v>459</v>
      </c>
      <c r="Q251" s="252" t="s">
        <v>67</v>
      </c>
      <c r="R251" s="232">
        <v>2380</v>
      </c>
      <c r="S251" s="93"/>
      <c r="T251" s="9">
        <v>2290</v>
      </c>
      <c r="U251" s="117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2.75">
      <c r="A252" s="9">
        <v>5</v>
      </c>
      <c r="B252" s="252" t="s">
        <v>68</v>
      </c>
      <c r="C252" s="276">
        <f t="shared" si="9"/>
        <v>0.77</v>
      </c>
      <c r="D252" s="277">
        <v>0.76</v>
      </c>
      <c r="E252" s="278">
        <f t="shared" si="10"/>
        <v>0.75</v>
      </c>
      <c r="F252" s="278">
        <v>0.74</v>
      </c>
      <c r="G252" s="278">
        <f t="shared" si="11"/>
        <v>0.73</v>
      </c>
      <c r="H252" s="278">
        <v>0.72</v>
      </c>
      <c r="I252" s="278">
        <f t="shared" si="12"/>
        <v>0.71</v>
      </c>
      <c r="J252" s="279">
        <v>0.7</v>
      </c>
      <c r="K252" s="9"/>
      <c r="Q252" s="252" t="s">
        <v>68</v>
      </c>
      <c r="R252" s="232">
        <v>2410</v>
      </c>
      <c r="S252" s="93"/>
      <c r="T252" s="9">
        <v>2350</v>
      </c>
      <c r="U252" s="117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2.75">
      <c r="A253" s="9">
        <v>6</v>
      </c>
      <c r="B253" s="252" t="s">
        <v>69</v>
      </c>
      <c r="C253" s="276">
        <f t="shared" si="9"/>
        <v>0.79</v>
      </c>
      <c r="D253" s="277">
        <v>0.78</v>
      </c>
      <c r="E253" s="278">
        <f t="shared" si="10"/>
        <v>0.77</v>
      </c>
      <c r="F253" s="278">
        <v>0.76</v>
      </c>
      <c r="G253" s="278">
        <f t="shared" si="11"/>
        <v>0.75</v>
      </c>
      <c r="H253" s="278">
        <v>0.74</v>
      </c>
      <c r="I253" s="278">
        <f t="shared" si="12"/>
        <v>0.73</v>
      </c>
      <c r="J253" s="279">
        <v>0.72</v>
      </c>
      <c r="K253" s="9"/>
      <c r="Q253" s="252" t="s">
        <v>69</v>
      </c>
      <c r="R253" s="232">
        <v>2445</v>
      </c>
      <c r="S253" s="93"/>
      <c r="T253" s="9">
        <v>2395</v>
      </c>
      <c r="U253" s="117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2.75">
      <c r="A254" s="9">
        <v>7</v>
      </c>
      <c r="B254" s="252" t="s">
        <v>70</v>
      </c>
      <c r="C254" s="276">
        <f t="shared" si="9"/>
        <v>0.8200000000000001</v>
      </c>
      <c r="D254" s="277">
        <v>0.81</v>
      </c>
      <c r="E254" s="278">
        <f t="shared" si="10"/>
        <v>0.8</v>
      </c>
      <c r="F254" s="278">
        <v>0.79</v>
      </c>
      <c r="G254" s="278">
        <f t="shared" si="11"/>
        <v>0.78</v>
      </c>
      <c r="H254" s="278">
        <v>0.77</v>
      </c>
      <c r="I254" s="278">
        <f t="shared" si="12"/>
        <v>0.76</v>
      </c>
      <c r="J254" s="279">
        <v>0.75</v>
      </c>
      <c r="K254" s="9"/>
      <c r="Q254" s="252" t="s">
        <v>70</v>
      </c>
      <c r="R254" s="232">
        <v>2490</v>
      </c>
      <c r="S254" s="93"/>
      <c r="T254" s="9">
        <v>2405</v>
      </c>
      <c r="U254" s="117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3.5" thickBot="1">
      <c r="A255" s="9">
        <v>8</v>
      </c>
      <c r="B255" s="281" t="s">
        <v>169</v>
      </c>
      <c r="C255" s="282">
        <f t="shared" si="9"/>
        <v>0.88</v>
      </c>
      <c r="D255" s="283">
        <v>0.87</v>
      </c>
      <c r="E255" s="242">
        <f t="shared" si="10"/>
        <v>0.86</v>
      </c>
      <c r="F255" s="242">
        <v>0.85</v>
      </c>
      <c r="G255" s="242">
        <f t="shared" si="11"/>
        <v>0.84</v>
      </c>
      <c r="H255" s="242">
        <v>0.83</v>
      </c>
      <c r="I255" s="242">
        <f t="shared" si="12"/>
        <v>0.8200000000000001</v>
      </c>
      <c r="J255" s="244">
        <v>0.81</v>
      </c>
      <c r="K255" s="9"/>
      <c r="Q255" s="281" t="s">
        <v>169</v>
      </c>
      <c r="R255" s="284">
        <v>2530</v>
      </c>
      <c r="S255" s="206"/>
      <c r="T255" s="88">
        <v>2435</v>
      </c>
      <c r="U255" s="172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2.75" customHeight="1">
      <c r="A257" s="9"/>
      <c r="B257" s="9"/>
      <c r="C257" s="9"/>
      <c r="D257" s="9"/>
      <c r="E257" s="164" t="s">
        <v>299</v>
      </c>
      <c r="F257" s="164"/>
      <c r="G257" s="164"/>
      <c r="H257" s="9"/>
      <c r="I257" s="9"/>
      <c r="J257" s="9"/>
      <c r="K257" s="9"/>
      <c r="L257" s="9"/>
      <c r="M257" s="9"/>
      <c r="N257" s="654" t="s">
        <v>721</v>
      </c>
      <c r="O257" s="655"/>
      <c r="P257" s="656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3.5" customHeight="1" thickBot="1">
      <c r="A258" s="9"/>
      <c r="B258" s="9"/>
      <c r="C258" s="9"/>
      <c r="D258" s="9"/>
      <c r="E258" s="9" t="s">
        <v>300</v>
      </c>
      <c r="F258" s="9"/>
      <c r="G258" s="9"/>
      <c r="H258" s="9"/>
      <c r="I258" s="9"/>
      <c r="J258" s="9"/>
      <c r="K258" s="9"/>
      <c r="L258" s="9"/>
      <c r="M258" s="9"/>
      <c r="N258" s="657"/>
      <c r="O258" s="658"/>
      <c r="P258" s="65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2.75" customHeight="1">
      <c r="A259" s="9"/>
      <c r="B259" s="119" t="s">
        <v>292</v>
      </c>
      <c r="C259" s="857" t="s">
        <v>301</v>
      </c>
      <c r="D259" s="881"/>
      <c r="E259" s="881"/>
      <c r="F259" s="858"/>
      <c r="G259" s="849" t="s">
        <v>302</v>
      </c>
      <c r="H259" s="881"/>
      <c r="I259" s="881"/>
      <c r="J259" s="850"/>
      <c r="K259" s="9"/>
      <c r="L259" s="9"/>
      <c r="M259" s="9"/>
      <c r="N259" s="660"/>
      <c r="O259" s="661"/>
      <c r="P259" s="662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2.75">
      <c r="A260" s="9"/>
      <c r="B260" s="192" t="s">
        <v>294</v>
      </c>
      <c r="C260" s="838"/>
      <c r="D260" s="880"/>
      <c r="E260" s="880"/>
      <c r="F260" s="843"/>
      <c r="G260" s="841"/>
      <c r="H260" s="880"/>
      <c r="I260" s="880"/>
      <c r="J260" s="842"/>
      <c r="K260" s="9"/>
      <c r="L260" s="9"/>
      <c r="M260" s="9"/>
      <c r="N260" s="550">
        <v>1</v>
      </c>
      <c r="O260" s="641">
        <v>0.02</v>
      </c>
      <c r="P260" s="641">
        <f>O260</f>
        <v>0.02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2.75">
      <c r="A261" s="9"/>
      <c r="B261" s="53" t="s">
        <v>296</v>
      </c>
      <c r="C261" s="840" t="s">
        <v>303</v>
      </c>
      <c r="D261" s="717"/>
      <c r="E261" s="717"/>
      <c r="F261" s="718"/>
      <c r="G261" s="716" t="s">
        <v>303</v>
      </c>
      <c r="H261" s="717"/>
      <c r="I261" s="717"/>
      <c r="J261" s="902"/>
      <c r="K261" s="9"/>
      <c r="L261" s="9"/>
      <c r="M261" s="9"/>
      <c r="N261" s="642">
        <v>2</v>
      </c>
      <c r="O261" s="643">
        <f aca="true" t="shared" si="13" ref="O261:O270">O260+0.005</f>
        <v>0.025</v>
      </c>
      <c r="P261" s="643">
        <f aca="true" t="shared" si="14" ref="P261:P279">O261</f>
        <v>0.025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3.5" thickBot="1">
      <c r="A262" s="9"/>
      <c r="B262" s="87" t="s">
        <v>177</v>
      </c>
      <c r="C262" s="285">
        <v>5</v>
      </c>
      <c r="D262" s="285">
        <v>6</v>
      </c>
      <c r="E262" s="285">
        <v>7</v>
      </c>
      <c r="F262" s="285">
        <v>8</v>
      </c>
      <c r="G262" s="285">
        <v>5</v>
      </c>
      <c r="H262" s="285">
        <v>6</v>
      </c>
      <c r="I262" s="285">
        <v>7</v>
      </c>
      <c r="J262" s="286">
        <v>8</v>
      </c>
      <c r="K262" s="9"/>
      <c r="L262" s="9"/>
      <c r="M262" s="9"/>
      <c r="N262" s="642">
        <v>3</v>
      </c>
      <c r="O262" s="643">
        <f t="shared" si="13"/>
        <v>0.030000000000000002</v>
      </c>
      <c r="P262" s="643">
        <f t="shared" si="14"/>
        <v>0.030000000000000002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3.5" thickBot="1">
      <c r="A263" s="9"/>
      <c r="B263" s="9"/>
      <c r="C263" s="9"/>
      <c r="D263" s="9"/>
      <c r="E263" s="164" t="s">
        <v>304</v>
      </c>
      <c r="F263" s="164"/>
      <c r="G263" s="164"/>
      <c r="H263" s="164"/>
      <c r="I263" s="9"/>
      <c r="J263" s="9"/>
      <c r="K263" s="9"/>
      <c r="L263" s="9"/>
      <c r="M263" s="9"/>
      <c r="N263" s="642">
        <v>4</v>
      </c>
      <c r="O263" s="643">
        <f t="shared" si="13"/>
        <v>0.035</v>
      </c>
      <c r="P263" s="643">
        <f t="shared" si="14"/>
        <v>0.035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2.75">
      <c r="A264" s="9"/>
      <c r="B264" s="183" t="s">
        <v>64</v>
      </c>
      <c r="C264" s="52">
        <v>60</v>
      </c>
      <c r="D264" s="52">
        <v>57</v>
      </c>
      <c r="E264" s="52">
        <v>54</v>
      </c>
      <c r="F264" s="81">
        <v>51</v>
      </c>
      <c r="G264" s="52">
        <v>69</v>
      </c>
      <c r="H264" s="52">
        <v>65</v>
      </c>
      <c r="I264" s="52">
        <v>61</v>
      </c>
      <c r="J264" s="120">
        <v>58</v>
      </c>
      <c r="K264" s="9"/>
      <c r="L264" s="9"/>
      <c r="M264" s="9"/>
      <c r="N264" s="642">
        <v>5</v>
      </c>
      <c r="O264" s="643">
        <f t="shared" si="13"/>
        <v>0.04</v>
      </c>
      <c r="P264" s="643">
        <f t="shared" si="14"/>
        <v>0.04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2.75">
      <c r="A265" s="9"/>
      <c r="B265" s="181" t="s">
        <v>65</v>
      </c>
      <c r="C265" s="10">
        <v>49</v>
      </c>
      <c r="D265" s="10">
        <v>46</v>
      </c>
      <c r="E265" s="10">
        <v>43</v>
      </c>
      <c r="F265" s="85">
        <v>40</v>
      </c>
      <c r="G265" s="10">
        <v>57</v>
      </c>
      <c r="H265" s="10">
        <v>54</v>
      </c>
      <c r="I265" s="10">
        <v>51</v>
      </c>
      <c r="J265" s="118">
        <v>48</v>
      </c>
      <c r="K265" s="9"/>
      <c r="L265" s="9"/>
      <c r="M265" s="9"/>
      <c r="N265" s="642">
        <v>6</v>
      </c>
      <c r="O265" s="643">
        <f t="shared" si="13"/>
        <v>0.045</v>
      </c>
      <c r="P265" s="643">
        <f t="shared" si="14"/>
        <v>0.045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2.75">
      <c r="A266" s="9"/>
      <c r="B266" s="181" t="s">
        <v>66</v>
      </c>
      <c r="C266" s="10">
        <v>41</v>
      </c>
      <c r="D266" s="10">
        <v>38</v>
      </c>
      <c r="E266" s="10">
        <v>35</v>
      </c>
      <c r="F266" s="85">
        <v>33</v>
      </c>
      <c r="G266" s="10">
        <v>48</v>
      </c>
      <c r="H266" s="10">
        <v>45</v>
      </c>
      <c r="I266" s="10">
        <v>43</v>
      </c>
      <c r="J266" s="118">
        <v>41</v>
      </c>
      <c r="K266" s="9"/>
      <c r="L266" s="9"/>
      <c r="M266" s="9"/>
      <c r="N266" s="642">
        <v>7</v>
      </c>
      <c r="O266" s="643">
        <f t="shared" si="13"/>
        <v>0.049999999999999996</v>
      </c>
      <c r="P266" s="643">
        <f t="shared" si="14"/>
        <v>0.049999999999999996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2.75">
      <c r="A267" s="9"/>
      <c r="B267" s="181" t="s">
        <v>67</v>
      </c>
      <c r="C267" s="10">
        <v>40</v>
      </c>
      <c r="D267" s="10">
        <v>37</v>
      </c>
      <c r="E267" s="10">
        <v>34</v>
      </c>
      <c r="F267" s="85">
        <v>32</v>
      </c>
      <c r="G267" s="10">
        <v>47</v>
      </c>
      <c r="H267" s="10">
        <v>44</v>
      </c>
      <c r="I267" s="10">
        <v>42</v>
      </c>
      <c r="J267" s="118">
        <v>40</v>
      </c>
      <c r="K267" s="9"/>
      <c r="L267" s="9"/>
      <c r="M267" s="9"/>
      <c r="N267" s="642">
        <v>8</v>
      </c>
      <c r="O267" s="643">
        <f t="shared" si="13"/>
        <v>0.05499999999999999</v>
      </c>
      <c r="P267" s="643">
        <f t="shared" si="14"/>
        <v>0.05499999999999999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2.75">
      <c r="A268" s="9"/>
      <c r="B268" s="181" t="s">
        <v>68</v>
      </c>
      <c r="C268" s="10">
        <v>37</v>
      </c>
      <c r="D268" s="10">
        <v>34</v>
      </c>
      <c r="E268" s="10">
        <v>32</v>
      </c>
      <c r="F268" s="85">
        <v>30</v>
      </c>
      <c r="G268" s="10">
        <v>44</v>
      </c>
      <c r="H268" s="10">
        <v>41</v>
      </c>
      <c r="I268" s="10">
        <v>39</v>
      </c>
      <c r="J268" s="118">
        <v>37</v>
      </c>
      <c r="K268" s="9"/>
      <c r="L268" s="9"/>
      <c r="M268" s="9"/>
      <c r="N268" s="642">
        <v>9</v>
      </c>
      <c r="O268" s="643">
        <f t="shared" si="13"/>
        <v>0.05999999999999999</v>
      </c>
      <c r="P268" s="643">
        <f t="shared" si="14"/>
        <v>0.05999999999999999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3.5" thickBot="1">
      <c r="A269" s="9"/>
      <c r="B269" s="185" t="s">
        <v>69</v>
      </c>
      <c r="C269" s="272">
        <v>36</v>
      </c>
      <c r="D269" s="272">
        <v>33</v>
      </c>
      <c r="E269" s="272">
        <v>31</v>
      </c>
      <c r="F269" s="57">
        <v>29</v>
      </c>
      <c r="G269" s="272">
        <v>43</v>
      </c>
      <c r="H269" s="272">
        <v>40</v>
      </c>
      <c r="I269" s="272">
        <v>38</v>
      </c>
      <c r="J269" s="58">
        <v>36</v>
      </c>
      <c r="K269" s="9"/>
      <c r="L269" s="9"/>
      <c r="M269" s="9"/>
      <c r="N269" s="642">
        <v>10</v>
      </c>
      <c r="O269" s="643">
        <f t="shared" si="13"/>
        <v>0.06499999999999999</v>
      </c>
      <c r="P269" s="643">
        <f t="shared" si="14"/>
        <v>0.06499999999999999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3.5" thickBot="1">
      <c r="A270" s="9"/>
      <c r="B270" s="9"/>
      <c r="C270" s="9"/>
      <c r="D270" s="9"/>
      <c r="E270" s="164" t="s">
        <v>305</v>
      </c>
      <c r="F270" s="164"/>
      <c r="G270" s="164"/>
      <c r="H270" s="164"/>
      <c r="I270" s="9"/>
      <c r="J270" s="9"/>
      <c r="K270" s="9"/>
      <c r="L270" s="9"/>
      <c r="M270" s="9"/>
      <c r="N270" s="642">
        <v>11</v>
      </c>
      <c r="O270" s="643">
        <f t="shared" si="13"/>
        <v>0.06999999999999999</v>
      </c>
      <c r="P270" s="643">
        <f t="shared" si="14"/>
        <v>0.06999999999999999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2.75">
      <c r="A271" s="9"/>
      <c r="B271" s="183" t="s">
        <v>64</v>
      </c>
      <c r="C271" s="52">
        <v>66</v>
      </c>
      <c r="D271" s="52">
        <v>62</v>
      </c>
      <c r="E271" s="52">
        <v>59</v>
      </c>
      <c r="F271" s="81">
        <v>56</v>
      </c>
      <c r="G271" s="52">
        <v>75</v>
      </c>
      <c r="H271" s="52">
        <v>71</v>
      </c>
      <c r="I271" s="52">
        <v>67</v>
      </c>
      <c r="J271" s="120">
        <v>64</v>
      </c>
      <c r="K271" s="9"/>
      <c r="L271" s="9"/>
      <c r="M271" s="9"/>
      <c r="N271" s="642">
        <v>12</v>
      </c>
      <c r="O271" s="643">
        <f>(U259*2)+U261+U262+U263</f>
        <v>0</v>
      </c>
      <c r="P271" s="643">
        <f t="shared" si="14"/>
        <v>0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2.75">
      <c r="A272" s="9"/>
      <c r="B272" s="181" t="s">
        <v>65</v>
      </c>
      <c r="C272" s="10">
        <v>53</v>
      </c>
      <c r="D272" s="10">
        <v>50</v>
      </c>
      <c r="E272" s="10">
        <v>47</v>
      </c>
      <c r="F272" s="85">
        <v>44</v>
      </c>
      <c r="G272" s="10">
        <v>61</v>
      </c>
      <c r="H272" s="10">
        <v>58</v>
      </c>
      <c r="I272" s="10">
        <v>55</v>
      </c>
      <c r="J272" s="118">
        <v>53</v>
      </c>
      <c r="K272" s="9"/>
      <c r="L272" s="9"/>
      <c r="M272" s="9"/>
      <c r="N272" s="642">
        <v>13</v>
      </c>
      <c r="O272" s="643">
        <f>(U259*2)+(U260*2)+U261+U263</f>
        <v>0</v>
      </c>
      <c r="P272" s="643">
        <f t="shared" si="14"/>
        <v>0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2.75">
      <c r="A273" s="9"/>
      <c r="B273" s="181" t="s">
        <v>66</v>
      </c>
      <c r="C273" s="10">
        <v>44</v>
      </c>
      <c r="D273" s="10">
        <v>41</v>
      </c>
      <c r="E273" s="10">
        <v>38</v>
      </c>
      <c r="F273" s="85">
        <v>36</v>
      </c>
      <c r="G273" s="10">
        <v>51</v>
      </c>
      <c r="H273" s="10">
        <v>48</v>
      </c>
      <c r="I273" s="10">
        <v>46</v>
      </c>
      <c r="J273" s="118">
        <v>44</v>
      </c>
      <c r="K273" s="9"/>
      <c r="L273" s="9"/>
      <c r="M273" s="9"/>
      <c r="N273" s="642">
        <v>14</v>
      </c>
      <c r="O273" s="643">
        <f>(U260*2)+U262+U263+U261+(2*U259)</f>
        <v>0</v>
      </c>
      <c r="P273" s="643">
        <f t="shared" si="14"/>
        <v>0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2.75">
      <c r="A274" s="9"/>
      <c r="B274" s="181" t="s">
        <v>67</v>
      </c>
      <c r="C274" s="10">
        <v>42</v>
      </c>
      <c r="D274" s="10">
        <v>39</v>
      </c>
      <c r="E274" s="10">
        <v>37</v>
      </c>
      <c r="F274" s="85">
        <v>35</v>
      </c>
      <c r="G274" s="10">
        <v>49</v>
      </c>
      <c r="H274" s="10">
        <v>46</v>
      </c>
      <c r="I274" s="10">
        <v>44</v>
      </c>
      <c r="J274" s="118">
        <v>42</v>
      </c>
      <c r="K274" s="9"/>
      <c r="L274" s="9"/>
      <c r="M274" s="9"/>
      <c r="N274" s="642">
        <v>15</v>
      </c>
      <c r="O274" s="643">
        <f>(U259*8)+(U260*4)+U261+U262+U263</f>
        <v>0</v>
      </c>
      <c r="P274" s="643">
        <f t="shared" si="14"/>
        <v>0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2.75">
      <c r="A275" s="9"/>
      <c r="B275" s="181" t="s">
        <v>68</v>
      </c>
      <c r="C275" s="10">
        <v>40</v>
      </c>
      <c r="D275" s="10">
        <v>37</v>
      </c>
      <c r="E275" s="10">
        <v>35</v>
      </c>
      <c r="F275" s="85">
        <v>33</v>
      </c>
      <c r="G275" s="10">
        <v>47</v>
      </c>
      <c r="H275" s="10">
        <v>44</v>
      </c>
      <c r="I275" s="10">
        <v>42</v>
      </c>
      <c r="J275" s="118">
        <v>40</v>
      </c>
      <c r="K275" s="9"/>
      <c r="L275" s="9"/>
      <c r="M275" s="9"/>
      <c r="N275" s="642">
        <v>16</v>
      </c>
      <c r="O275" s="643">
        <f>1/4</f>
        <v>0.25</v>
      </c>
      <c r="P275" s="643">
        <f t="shared" si="14"/>
        <v>0.25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3.5" thickBot="1">
      <c r="A276" s="9"/>
      <c r="B276" s="185" t="s">
        <v>69</v>
      </c>
      <c r="C276" s="272">
        <v>37</v>
      </c>
      <c r="D276" s="272">
        <v>35</v>
      </c>
      <c r="E276" s="272">
        <v>33</v>
      </c>
      <c r="F276" s="57">
        <v>32</v>
      </c>
      <c r="G276" s="272">
        <v>45</v>
      </c>
      <c r="H276" s="272">
        <v>42</v>
      </c>
      <c r="I276" s="272">
        <v>40</v>
      </c>
      <c r="J276" s="58">
        <v>38</v>
      </c>
      <c r="K276" s="9"/>
      <c r="L276" s="9"/>
      <c r="M276" s="9"/>
      <c r="N276" s="642">
        <v>17</v>
      </c>
      <c r="O276" s="643">
        <f>1/2</f>
        <v>0.5</v>
      </c>
      <c r="P276" s="643">
        <f t="shared" si="14"/>
        <v>0.5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3.5" thickBot="1">
      <c r="A277" s="9"/>
      <c r="B277" s="9"/>
      <c r="C277" s="9"/>
      <c r="D277" s="9"/>
      <c r="E277" s="164" t="s">
        <v>306</v>
      </c>
      <c r="F277" s="164"/>
      <c r="G277" s="164"/>
      <c r="H277" s="164"/>
      <c r="I277" s="9"/>
      <c r="J277" s="9"/>
      <c r="K277" s="9"/>
      <c r="L277" s="9"/>
      <c r="M277" s="9"/>
      <c r="N277" s="642">
        <v>18</v>
      </c>
      <c r="O277" s="643">
        <f>1</f>
        <v>1</v>
      </c>
      <c r="P277" s="643">
        <f t="shared" si="14"/>
        <v>1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2.75">
      <c r="A278" s="9"/>
      <c r="B278" s="183" t="s">
        <v>64</v>
      </c>
      <c r="C278" s="52">
        <v>74</v>
      </c>
      <c r="D278" s="52">
        <v>70</v>
      </c>
      <c r="E278" s="52">
        <v>66</v>
      </c>
      <c r="F278" s="81">
        <v>62</v>
      </c>
      <c r="G278" s="52">
        <v>84</v>
      </c>
      <c r="H278" s="52">
        <v>80</v>
      </c>
      <c r="I278" s="52">
        <v>76</v>
      </c>
      <c r="J278" s="120">
        <v>73</v>
      </c>
      <c r="K278" s="9"/>
      <c r="L278" s="9"/>
      <c r="M278" s="9"/>
      <c r="N278" s="642">
        <v>19</v>
      </c>
      <c r="O278" s="643"/>
      <c r="P278" s="643">
        <f t="shared" si="14"/>
        <v>0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2.75">
      <c r="A279" s="9"/>
      <c r="B279" s="181" t="s">
        <v>65</v>
      </c>
      <c r="C279" s="10">
        <v>59</v>
      </c>
      <c r="D279" s="10">
        <v>56</v>
      </c>
      <c r="E279" s="10">
        <v>53</v>
      </c>
      <c r="F279" s="85">
        <v>50</v>
      </c>
      <c r="G279" s="10">
        <v>70</v>
      </c>
      <c r="H279" s="10">
        <v>66</v>
      </c>
      <c r="I279" s="10">
        <v>62</v>
      </c>
      <c r="J279" s="118">
        <v>59</v>
      </c>
      <c r="K279" s="9"/>
      <c r="L279" s="9"/>
      <c r="M279" s="9"/>
      <c r="N279" s="553">
        <v>20</v>
      </c>
      <c r="O279" s="644"/>
      <c r="P279" s="644">
        <f t="shared" si="14"/>
        <v>0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2.75">
      <c r="A280" s="9"/>
      <c r="B280" s="181" t="s">
        <v>66</v>
      </c>
      <c r="C280" s="10">
        <v>49</v>
      </c>
      <c r="D280" s="10">
        <v>46</v>
      </c>
      <c r="E280" s="10">
        <v>43</v>
      </c>
      <c r="F280" s="85">
        <v>40</v>
      </c>
      <c r="G280" s="10">
        <v>57</v>
      </c>
      <c r="H280" s="10">
        <v>54</v>
      </c>
      <c r="I280" s="10">
        <v>51</v>
      </c>
      <c r="J280" s="118">
        <v>48</v>
      </c>
      <c r="K280" s="9"/>
      <c r="L280" s="9"/>
      <c r="M280" s="9"/>
      <c r="N280" s="645">
        <v>5</v>
      </c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2.75">
      <c r="A281" s="9"/>
      <c r="B281" s="181" t="s">
        <v>67</v>
      </c>
      <c r="C281" s="10">
        <v>47</v>
      </c>
      <c r="D281" s="10">
        <v>44</v>
      </c>
      <c r="E281" s="10">
        <v>41</v>
      </c>
      <c r="F281" s="85">
        <v>38</v>
      </c>
      <c r="G281" s="10">
        <v>55</v>
      </c>
      <c r="H281" s="10">
        <v>52</v>
      </c>
      <c r="I281" s="10">
        <v>49</v>
      </c>
      <c r="J281" s="118">
        <v>46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2.75">
      <c r="A282" s="9"/>
      <c r="B282" s="181" t="s">
        <v>68</v>
      </c>
      <c r="C282" s="10">
        <v>44</v>
      </c>
      <c r="D282" s="10">
        <v>41</v>
      </c>
      <c r="E282" s="10">
        <v>38</v>
      </c>
      <c r="F282" s="85">
        <v>36</v>
      </c>
      <c r="G282" s="10">
        <v>52</v>
      </c>
      <c r="H282" s="10">
        <v>49</v>
      </c>
      <c r="I282" s="10">
        <v>46</v>
      </c>
      <c r="J282" s="118">
        <v>44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3.5" thickBot="1">
      <c r="A283" s="9"/>
      <c r="B283" s="185" t="s">
        <v>69</v>
      </c>
      <c r="C283" s="272">
        <v>42</v>
      </c>
      <c r="D283" s="272">
        <v>38</v>
      </c>
      <c r="E283" s="272">
        <v>36</v>
      </c>
      <c r="F283" s="57">
        <v>34</v>
      </c>
      <c r="G283" s="272">
        <v>49</v>
      </c>
      <c r="H283" s="272">
        <v>46</v>
      </c>
      <c r="I283" s="272">
        <v>44</v>
      </c>
      <c r="J283" s="58">
        <v>42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2.75">
      <c r="A285" s="9"/>
      <c r="B285" s="173" t="s">
        <v>307</v>
      </c>
      <c r="C285" s="173"/>
      <c r="D285" s="173"/>
      <c r="E285" s="173"/>
      <c r="F285" s="9"/>
      <c r="G285" s="9"/>
      <c r="H285" s="9"/>
      <c r="I285" s="9"/>
      <c r="J285" s="9"/>
      <c r="K285" s="9"/>
      <c r="L285" s="9" t="s">
        <v>615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3.5" thickBot="1">
      <c r="A286" s="9"/>
      <c r="B286" s="9"/>
      <c r="C286" s="9"/>
      <c r="D286" s="9" t="s">
        <v>308</v>
      </c>
      <c r="E286" s="9"/>
      <c r="F286" s="9"/>
      <c r="G286" s="9"/>
      <c r="H286" s="9"/>
      <c r="I286" s="9"/>
      <c r="J286" s="9"/>
      <c r="K286" s="9"/>
      <c r="L286" s="9"/>
      <c r="M286" s="9" t="s">
        <v>616</v>
      </c>
      <c r="N286" s="9"/>
      <c r="O286" s="9"/>
      <c r="P286" s="9"/>
      <c r="Q286" s="9"/>
      <c r="R286" s="9"/>
      <c r="S286" s="9"/>
      <c r="T286" s="9"/>
      <c r="U286" s="9" t="s">
        <v>647</v>
      </c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2" ht="12.75">
      <c r="A287" s="9"/>
      <c r="B287" s="119" t="s">
        <v>292</v>
      </c>
      <c r="C287" s="175" t="s">
        <v>309</v>
      </c>
      <c r="D287" s="80"/>
      <c r="E287" s="80"/>
      <c r="F287" s="176"/>
      <c r="G287" s="9"/>
      <c r="H287" s="9"/>
      <c r="I287" s="9"/>
      <c r="J287" s="9"/>
      <c r="K287" s="9"/>
      <c r="L287" s="837" t="s">
        <v>601</v>
      </c>
      <c r="M287" s="730"/>
      <c r="N287" s="837" t="s">
        <v>602</v>
      </c>
      <c r="O287" s="730"/>
      <c r="P287" s="9"/>
      <c r="Q287" s="299" t="s">
        <v>51</v>
      </c>
      <c r="R287" s="299" t="s">
        <v>63</v>
      </c>
      <c r="S287" s="840" t="s">
        <v>621</v>
      </c>
      <c r="T287" s="717"/>
      <c r="U287" s="717"/>
      <c r="V287" s="717"/>
      <c r="W287" s="717"/>
      <c r="X287" s="717"/>
      <c r="Y287" s="717"/>
      <c r="Z287" s="717"/>
      <c r="AA287" s="717"/>
      <c r="AB287" s="717"/>
      <c r="AC287" s="717"/>
      <c r="AD287" s="717"/>
      <c r="AE287" s="717"/>
      <c r="AF287" s="728"/>
    </row>
    <row r="288" spans="1:32" ht="12.75">
      <c r="A288" s="9"/>
      <c r="B288" s="192" t="s">
        <v>294</v>
      </c>
      <c r="C288" s="232" t="s">
        <v>310</v>
      </c>
      <c r="D288" s="9"/>
      <c r="E288" s="9"/>
      <c r="F288" s="287"/>
      <c r="G288" s="9"/>
      <c r="H288" s="9"/>
      <c r="I288" s="9"/>
      <c r="J288" s="9"/>
      <c r="K288" s="9"/>
      <c r="L288" s="177"/>
      <c r="M288" s="160"/>
      <c r="N288" s="838" t="s">
        <v>603</v>
      </c>
      <c r="O288" s="839"/>
      <c r="P288" s="9"/>
      <c r="Q288" s="300" t="s">
        <v>617</v>
      </c>
      <c r="R288" s="300" t="s">
        <v>618</v>
      </c>
      <c r="S288" s="300" t="s">
        <v>619</v>
      </c>
      <c r="T288" s="299">
        <v>100</v>
      </c>
      <c r="U288" s="299">
        <v>90</v>
      </c>
      <c r="V288" s="299">
        <v>75</v>
      </c>
      <c r="W288" s="299">
        <v>63</v>
      </c>
      <c r="X288" s="299">
        <v>50</v>
      </c>
      <c r="Y288" s="299">
        <v>37.5</v>
      </c>
      <c r="Z288" s="299">
        <v>25</v>
      </c>
      <c r="AA288" s="299">
        <v>19</v>
      </c>
      <c r="AB288" s="299">
        <v>12.5</v>
      </c>
      <c r="AC288" s="299">
        <v>9.5</v>
      </c>
      <c r="AD288" s="299">
        <v>4.75</v>
      </c>
      <c r="AE288" s="299">
        <v>2.36</v>
      </c>
      <c r="AF288" s="299">
        <v>1.18</v>
      </c>
    </row>
    <row r="289" spans="1:32" ht="12.75">
      <c r="A289" s="9"/>
      <c r="B289" s="192" t="s">
        <v>296</v>
      </c>
      <c r="C289" s="838" t="s">
        <v>311</v>
      </c>
      <c r="D289" s="880"/>
      <c r="E289" s="880"/>
      <c r="F289" s="842"/>
      <c r="G289" s="9"/>
      <c r="H289" s="9"/>
      <c r="I289" s="9"/>
      <c r="J289" s="9"/>
      <c r="K289" s="9"/>
      <c r="L289" s="159"/>
      <c r="M289" s="156"/>
      <c r="N289" s="159" t="s">
        <v>262</v>
      </c>
      <c r="O289" s="156" t="s">
        <v>5</v>
      </c>
      <c r="P289" s="9"/>
      <c r="Q289" s="295"/>
      <c r="R289" s="295"/>
      <c r="S289" s="295" t="s">
        <v>620</v>
      </c>
      <c r="T289" s="295">
        <v>4</v>
      </c>
      <c r="U289" s="466">
        <v>3.5</v>
      </c>
      <c r="V289" s="295">
        <v>3</v>
      </c>
      <c r="W289" s="466">
        <v>2.5</v>
      </c>
      <c r="X289" s="295">
        <v>2</v>
      </c>
      <c r="Y289" s="466">
        <v>1.5</v>
      </c>
      <c r="Z289" s="295">
        <v>1</v>
      </c>
      <c r="AA289" s="466">
        <v>0.75</v>
      </c>
      <c r="AB289" s="466">
        <v>0.5</v>
      </c>
      <c r="AC289" s="466">
        <v>0.375</v>
      </c>
      <c r="AD289" s="466" t="s">
        <v>134</v>
      </c>
      <c r="AE289" s="466" t="s">
        <v>135</v>
      </c>
      <c r="AF289" s="466" t="s">
        <v>604</v>
      </c>
    </row>
    <row r="290" spans="1:32" ht="12.75">
      <c r="A290" s="9"/>
      <c r="B290" s="53" t="s">
        <v>177</v>
      </c>
      <c r="C290" s="85">
        <v>6</v>
      </c>
      <c r="D290" s="85">
        <v>7</v>
      </c>
      <c r="E290" s="85">
        <v>8</v>
      </c>
      <c r="F290" s="118">
        <v>9</v>
      </c>
      <c r="G290" s="9"/>
      <c r="H290" s="9"/>
      <c r="I290" s="9"/>
      <c r="J290" s="9"/>
      <c r="K290" s="9"/>
      <c r="L290" s="154" t="s">
        <v>64</v>
      </c>
      <c r="M290" s="85" t="s">
        <v>608</v>
      </c>
      <c r="N290" s="154"/>
      <c r="O290" s="85">
        <v>100</v>
      </c>
      <c r="P290" s="9"/>
      <c r="Q290" s="469">
        <v>1</v>
      </c>
      <c r="R290" s="469" t="s">
        <v>622</v>
      </c>
      <c r="S290" s="469"/>
      <c r="T290" s="469"/>
      <c r="U290" s="469"/>
      <c r="V290" s="469"/>
      <c r="W290" s="469"/>
      <c r="X290" s="469"/>
      <c r="Y290" s="469"/>
      <c r="Z290" s="469"/>
      <c r="AA290" s="469"/>
      <c r="AB290" s="469"/>
      <c r="AC290" s="469"/>
      <c r="AD290" s="469"/>
      <c r="AE290" s="469"/>
      <c r="AF290" s="472"/>
    </row>
    <row r="291" spans="1:32" ht="12.75">
      <c r="A291" s="9"/>
      <c r="B291" s="280" t="s">
        <v>64</v>
      </c>
      <c r="C291" s="156">
        <v>3.96</v>
      </c>
      <c r="D291" s="156">
        <v>4.04</v>
      </c>
      <c r="E291" s="156">
        <v>4.11</v>
      </c>
      <c r="F291" s="288">
        <v>4.19</v>
      </c>
      <c r="G291" s="9"/>
      <c r="H291" s="9"/>
      <c r="I291" s="9"/>
      <c r="J291" s="9"/>
      <c r="K291" s="9"/>
      <c r="L291" s="154" t="s">
        <v>134</v>
      </c>
      <c r="M291" s="85" t="s">
        <v>609</v>
      </c>
      <c r="N291" s="154">
        <v>95</v>
      </c>
      <c r="O291" s="85">
        <v>100</v>
      </c>
      <c r="P291" s="9"/>
      <c r="Q291" s="471"/>
      <c r="R291" s="470" t="s">
        <v>643</v>
      </c>
      <c r="S291" s="473"/>
      <c r="T291" s="473">
        <v>100</v>
      </c>
      <c r="U291" s="473" t="s">
        <v>623</v>
      </c>
      <c r="V291" s="473"/>
      <c r="W291" s="473" t="s">
        <v>624</v>
      </c>
      <c r="X291" s="473"/>
      <c r="Y291" s="473" t="s">
        <v>625</v>
      </c>
      <c r="Z291" s="473"/>
      <c r="AA291" s="473" t="s">
        <v>626</v>
      </c>
      <c r="AB291" s="473"/>
      <c r="AC291" s="473"/>
      <c r="AD291" s="473"/>
      <c r="AE291" s="473"/>
      <c r="AF291" s="474"/>
    </row>
    <row r="292" spans="1:32" ht="12.75">
      <c r="A292" s="9"/>
      <c r="B292" s="181" t="s">
        <v>65</v>
      </c>
      <c r="C292" s="85">
        <v>4.46</v>
      </c>
      <c r="D292" s="85">
        <v>4.54</v>
      </c>
      <c r="E292" s="85">
        <v>4.61</v>
      </c>
      <c r="F292" s="118">
        <v>4.69</v>
      </c>
      <c r="G292" s="9"/>
      <c r="H292" s="9"/>
      <c r="I292" s="9"/>
      <c r="J292" s="9"/>
      <c r="K292" s="9"/>
      <c r="L292" s="154" t="s">
        <v>135</v>
      </c>
      <c r="M292" s="85" t="s">
        <v>610</v>
      </c>
      <c r="N292" s="154">
        <v>80</v>
      </c>
      <c r="O292" s="85">
        <v>100</v>
      </c>
      <c r="P292" s="9"/>
      <c r="Q292" s="469">
        <v>2</v>
      </c>
      <c r="R292" s="469" t="s">
        <v>629</v>
      </c>
      <c r="S292" s="475"/>
      <c r="T292" s="475"/>
      <c r="U292" s="475"/>
      <c r="V292" s="475"/>
      <c r="W292" s="475"/>
      <c r="X292" s="475"/>
      <c r="Y292" s="475"/>
      <c r="Z292" s="475"/>
      <c r="AA292" s="475"/>
      <c r="AB292" s="475"/>
      <c r="AC292" s="475"/>
      <c r="AD292" s="475"/>
      <c r="AE292" s="475"/>
      <c r="AF292" s="475"/>
    </row>
    <row r="293" spans="1:32" ht="12.75">
      <c r="A293" s="9"/>
      <c r="B293" s="181" t="s">
        <v>66</v>
      </c>
      <c r="C293" s="85">
        <v>4.96</v>
      </c>
      <c r="D293" s="85">
        <v>5.04</v>
      </c>
      <c r="E293" s="85">
        <v>5.11</v>
      </c>
      <c r="F293" s="118">
        <v>5.19</v>
      </c>
      <c r="G293" s="9"/>
      <c r="H293" s="9"/>
      <c r="I293" s="9"/>
      <c r="J293" s="9"/>
      <c r="K293" s="9"/>
      <c r="L293" s="154" t="s">
        <v>604</v>
      </c>
      <c r="M293" s="85" t="s">
        <v>611</v>
      </c>
      <c r="N293" s="154">
        <v>50</v>
      </c>
      <c r="O293" s="85">
        <v>85</v>
      </c>
      <c r="P293" s="9"/>
      <c r="Q293" s="471"/>
      <c r="R293" s="470" t="s">
        <v>642</v>
      </c>
      <c r="S293" s="473"/>
      <c r="T293" s="473"/>
      <c r="U293" s="473"/>
      <c r="V293" s="473">
        <v>100</v>
      </c>
      <c r="W293" s="473" t="s">
        <v>623</v>
      </c>
      <c r="X293" s="473" t="s">
        <v>627</v>
      </c>
      <c r="Y293" s="473" t="s">
        <v>625</v>
      </c>
      <c r="Z293" s="473"/>
      <c r="AA293" s="473" t="s">
        <v>626</v>
      </c>
      <c r="AB293" s="473"/>
      <c r="AC293" s="473"/>
      <c r="AD293" s="473"/>
      <c r="AE293" s="473"/>
      <c r="AF293" s="473"/>
    </row>
    <row r="294" spans="1:32" ht="12.75">
      <c r="A294" s="9"/>
      <c r="B294" s="181" t="s">
        <v>67</v>
      </c>
      <c r="C294" s="85">
        <v>5.26</v>
      </c>
      <c r="D294" s="85">
        <v>5.34</v>
      </c>
      <c r="E294" s="85">
        <v>5.41</v>
      </c>
      <c r="F294" s="118">
        <v>5.49</v>
      </c>
      <c r="G294" s="9"/>
      <c r="H294" s="9"/>
      <c r="I294" s="9"/>
      <c r="J294" s="9"/>
      <c r="K294" s="9"/>
      <c r="L294" s="154" t="s">
        <v>605</v>
      </c>
      <c r="M294" s="85" t="s">
        <v>612</v>
      </c>
      <c r="N294" s="154">
        <v>25</v>
      </c>
      <c r="O294" s="85">
        <v>60</v>
      </c>
      <c r="P294" s="9"/>
      <c r="Q294" s="469">
        <v>3</v>
      </c>
      <c r="R294" s="469" t="s">
        <v>628</v>
      </c>
      <c r="S294" s="475"/>
      <c r="T294" s="475"/>
      <c r="U294" s="475"/>
      <c r="V294" s="475"/>
      <c r="W294" s="475"/>
      <c r="X294" s="475"/>
      <c r="Y294" s="475"/>
      <c r="Z294" s="475"/>
      <c r="AA294" s="475"/>
      <c r="AB294" s="475"/>
      <c r="AC294" s="475"/>
      <c r="AD294" s="475"/>
      <c r="AE294" s="475"/>
      <c r="AF294" s="475"/>
    </row>
    <row r="295" spans="1:32" ht="12.75">
      <c r="A295" s="9"/>
      <c r="B295" s="181" t="s">
        <v>68</v>
      </c>
      <c r="C295" s="85">
        <v>5.56</v>
      </c>
      <c r="D295" s="85">
        <v>5.64</v>
      </c>
      <c r="E295" s="85">
        <v>5.71</v>
      </c>
      <c r="F295" s="118">
        <v>5.79</v>
      </c>
      <c r="G295" s="9"/>
      <c r="H295" s="9"/>
      <c r="I295" s="9"/>
      <c r="J295" s="9"/>
      <c r="K295" s="9"/>
      <c r="L295" s="154" t="s">
        <v>606</v>
      </c>
      <c r="M295" s="85" t="s">
        <v>613</v>
      </c>
      <c r="N295" s="154">
        <v>10</v>
      </c>
      <c r="O295" s="85">
        <v>30</v>
      </c>
      <c r="P295" s="9"/>
      <c r="Q295" s="471"/>
      <c r="R295" s="470" t="s">
        <v>641</v>
      </c>
      <c r="S295" s="473"/>
      <c r="T295" s="473"/>
      <c r="U295" s="473"/>
      <c r="V295" s="473"/>
      <c r="W295" s="473">
        <v>100</v>
      </c>
      <c r="X295" s="473" t="s">
        <v>623</v>
      </c>
      <c r="Y295" s="473" t="s">
        <v>627</v>
      </c>
      <c r="Z295" s="473" t="s">
        <v>625</v>
      </c>
      <c r="AA295" s="473"/>
      <c r="AB295" s="473" t="s">
        <v>626</v>
      </c>
      <c r="AC295" s="473"/>
      <c r="AD295" s="473"/>
      <c r="AE295" s="473"/>
      <c r="AF295" s="473"/>
    </row>
    <row r="296" spans="1:32" ht="12.75">
      <c r="A296" s="9"/>
      <c r="B296" s="181" t="s">
        <v>69</v>
      </c>
      <c r="C296" s="85">
        <v>5.86</v>
      </c>
      <c r="D296" s="85">
        <v>5.94</v>
      </c>
      <c r="E296" s="85">
        <v>6.01</v>
      </c>
      <c r="F296" s="118">
        <v>6.09</v>
      </c>
      <c r="G296" s="9"/>
      <c r="H296" s="9"/>
      <c r="I296" s="9"/>
      <c r="J296" s="9"/>
      <c r="K296" s="9"/>
      <c r="L296" s="155" t="s">
        <v>607</v>
      </c>
      <c r="M296" s="83" t="s">
        <v>614</v>
      </c>
      <c r="N296" s="155">
        <v>2</v>
      </c>
      <c r="O296" s="83">
        <v>10</v>
      </c>
      <c r="P296" s="9"/>
      <c r="Q296" s="469">
        <v>357</v>
      </c>
      <c r="R296" s="469" t="s">
        <v>630</v>
      </c>
      <c r="S296" s="475"/>
      <c r="T296" s="475"/>
      <c r="U296" s="475"/>
      <c r="V296" s="475"/>
      <c r="W296" s="475"/>
      <c r="X296" s="475"/>
      <c r="Y296" s="475"/>
      <c r="Z296" s="475"/>
      <c r="AA296" s="475"/>
      <c r="AB296" s="475"/>
      <c r="AC296" s="475"/>
      <c r="AD296" s="475"/>
      <c r="AE296" s="475"/>
      <c r="AF296" s="475"/>
    </row>
    <row r="297" spans="1:32" ht="13.5" thickBot="1">
      <c r="A297" s="9"/>
      <c r="B297" s="185" t="s">
        <v>70</v>
      </c>
      <c r="C297" s="57">
        <v>6.16</v>
      </c>
      <c r="D297" s="57">
        <v>6.24</v>
      </c>
      <c r="E297" s="57">
        <v>6.31</v>
      </c>
      <c r="F297" s="58">
        <v>6.39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471"/>
      <c r="R297" s="470" t="s">
        <v>632</v>
      </c>
      <c r="S297" s="473"/>
      <c r="T297" s="473"/>
      <c r="U297" s="473"/>
      <c r="V297" s="473"/>
      <c r="W297" s="473">
        <v>100</v>
      </c>
      <c r="X297" s="473" t="s">
        <v>631</v>
      </c>
      <c r="Y297" s="473"/>
      <c r="Z297" s="473" t="s">
        <v>627</v>
      </c>
      <c r="AA297" s="473"/>
      <c r="AB297" s="473" t="s">
        <v>636</v>
      </c>
      <c r="AC297" s="473"/>
      <c r="AD297" s="473" t="s">
        <v>626</v>
      </c>
      <c r="AE297" s="473"/>
      <c r="AF297" s="473"/>
    </row>
    <row r="298" spans="1:32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469">
        <v>4</v>
      </c>
      <c r="R298" s="469" t="s">
        <v>633</v>
      </c>
      <c r="S298" s="475"/>
      <c r="T298" s="475"/>
      <c r="U298" s="475"/>
      <c r="V298" s="475"/>
      <c r="W298" s="475"/>
      <c r="X298" s="475"/>
      <c r="Y298" s="475"/>
      <c r="Z298" s="475"/>
      <c r="AA298" s="475"/>
      <c r="AB298" s="475"/>
      <c r="AC298" s="475"/>
      <c r="AD298" s="475"/>
      <c r="AE298" s="475"/>
      <c r="AF298" s="475"/>
    </row>
    <row r="299" spans="1:32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471"/>
      <c r="R299" s="470" t="s">
        <v>640</v>
      </c>
      <c r="S299" s="473"/>
      <c r="T299" s="473"/>
      <c r="U299" s="473"/>
      <c r="V299" s="473"/>
      <c r="W299" s="473"/>
      <c r="X299" s="473">
        <v>100</v>
      </c>
      <c r="Y299" s="473" t="s">
        <v>623</v>
      </c>
      <c r="Z299" s="473" t="s">
        <v>634</v>
      </c>
      <c r="AA299" s="473" t="s">
        <v>625</v>
      </c>
      <c r="AB299" s="473"/>
      <c r="AC299" s="473" t="s">
        <v>626</v>
      </c>
      <c r="AD299" s="473"/>
      <c r="AE299" s="473"/>
      <c r="AF299" s="473"/>
    </row>
    <row r="300" spans="1:32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469">
        <v>467</v>
      </c>
      <c r="R300" s="469" t="s">
        <v>635</v>
      </c>
      <c r="S300" s="475"/>
      <c r="T300" s="475"/>
      <c r="U300" s="475"/>
      <c r="V300" s="475"/>
      <c r="W300" s="475"/>
      <c r="X300" s="475"/>
      <c r="Y300" s="475"/>
      <c r="Z300" s="475"/>
      <c r="AA300" s="475"/>
      <c r="AB300" s="475"/>
      <c r="AC300" s="475"/>
      <c r="AD300" s="475"/>
      <c r="AE300" s="475"/>
      <c r="AF300" s="475"/>
    </row>
    <row r="301" spans="1:32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471"/>
      <c r="R301" s="470" t="s">
        <v>639</v>
      </c>
      <c r="S301" s="473"/>
      <c r="T301" s="473"/>
      <c r="U301" s="473"/>
      <c r="V301" s="473"/>
      <c r="W301" s="473"/>
      <c r="X301" s="473">
        <v>100</v>
      </c>
      <c r="Y301" s="473" t="s">
        <v>631</v>
      </c>
      <c r="Z301" s="473"/>
      <c r="AA301" s="473" t="s">
        <v>627</v>
      </c>
      <c r="AB301" s="473"/>
      <c r="AC301" s="473" t="s">
        <v>636</v>
      </c>
      <c r="AD301" s="473" t="s">
        <v>626</v>
      </c>
      <c r="AE301" s="473"/>
      <c r="AF301" s="473"/>
    </row>
    <row r="302" spans="1:32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469">
        <v>5</v>
      </c>
      <c r="R302" s="469" t="s">
        <v>637</v>
      </c>
      <c r="S302" s="475"/>
      <c r="T302" s="475"/>
      <c r="U302" s="475"/>
      <c r="V302" s="475"/>
      <c r="W302" s="475"/>
      <c r="X302" s="475"/>
      <c r="Y302" s="475"/>
      <c r="Z302" s="475"/>
      <c r="AA302" s="475"/>
      <c r="AB302" s="475"/>
      <c r="AC302" s="475"/>
      <c r="AD302" s="475"/>
      <c r="AE302" s="475"/>
      <c r="AF302" s="475"/>
    </row>
    <row r="303" spans="1:32" ht="12.75">
      <c r="A303" s="190">
        <v>10</v>
      </c>
      <c r="B303" s="191" t="s">
        <v>312</v>
      </c>
      <c r="C303" s="191"/>
      <c r="D303" s="19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471"/>
      <c r="R303" s="470" t="s">
        <v>638</v>
      </c>
      <c r="S303" s="473"/>
      <c r="T303" s="473"/>
      <c r="U303" s="473"/>
      <c r="V303" s="473"/>
      <c r="W303" s="473"/>
      <c r="X303" s="473"/>
      <c r="Y303" s="473">
        <v>100</v>
      </c>
      <c r="Z303" s="473" t="s">
        <v>623</v>
      </c>
      <c r="AA303" s="473" t="s">
        <v>634</v>
      </c>
      <c r="AB303" s="473" t="s">
        <v>644</v>
      </c>
      <c r="AC303" s="473" t="s">
        <v>626</v>
      </c>
      <c r="AD303" s="473"/>
      <c r="AE303" s="473"/>
      <c r="AF303" s="473"/>
    </row>
    <row r="304" spans="1:32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469">
        <v>56</v>
      </c>
      <c r="R304" s="469" t="s">
        <v>645</v>
      </c>
      <c r="S304" s="475"/>
      <c r="T304" s="475"/>
      <c r="U304" s="475"/>
      <c r="V304" s="475"/>
      <c r="W304" s="475"/>
      <c r="X304" s="475"/>
      <c r="Y304" s="475"/>
      <c r="Z304" s="475"/>
      <c r="AA304" s="475"/>
      <c r="AB304" s="475"/>
      <c r="AC304" s="475"/>
      <c r="AD304" s="475"/>
      <c r="AE304" s="475"/>
      <c r="AF304" s="475"/>
    </row>
    <row r="305" spans="1:32" ht="12.75">
      <c r="A305" s="9"/>
      <c r="B305" s="290"/>
      <c r="C305" s="9" t="s">
        <v>345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471"/>
      <c r="R305" s="470" t="s">
        <v>646</v>
      </c>
      <c r="S305" s="473"/>
      <c r="T305" s="473"/>
      <c r="U305" s="473"/>
      <c r="V305" s="473"/>
      <c r="W305" s="473"/>
      <c r="X305" s="473"/>
      <c r="Y305" s="473">
        <v>100</v>
      </c>
      <c r="Z305" s="473" t="s">
        <v>623</v>
      </c>
      <c r="AA305" s="473" t="s">
        <v>648</v>
      </c>
      <c r="AB305" s="473" t="s">
        <v>649</v>
      </c>
      <c r="AC305" s="473" t="s">
        <v>650</v>
      </c>
      <c r="AD305" s="473" t="s">
        <v>626</v>
      </c>
      <c r="AE305" s="473"/>
      <c r="AF305" s="473"/>
    </row>
    <row r="306" spans="1:32" ht="13.5" thickBot="1">
      <c r="A306" s="9"/>
      <c r="B306" s="291"/>
      <c r="C306" s="9" t="s">
        <v>348</v>
      </c>
      <c r="D306" s="9"/>
      <c r="E306" s="9" t="s">
        <v>346</v>
      </c>
      <c r="F306" s="9"/>
      <c r="G306" s="9"/>
      <c r="H306" s="9"/>
      <c r="I306" s="9" t="s">
        <v>515</v>
      </c>
      <c r="J306" s="9"/>
      <c r="K306" s="9"/>
      <c r="L306" s="9"/>
      <c r="M306" s="9"/>
      <c r="N306" s="9"/>
      <c r="P306" s="9"/>
      <c r="Q306" s="469">
        <v>57</v>
      </c>
      <c r="R306" s="469" t="s">
        <v>651</v>
      </c>
      <c r="S306" s="475"/>
      <c r="T306" s="475"/>
      <c r="U306" s="475"/>
      <c r="V306" s="475"/>
      <c r="W306" s="475"/>
      <c r="X306" s="475"/>
      <c r="Y306" s="475"/>
      <c r="Z306" s="475"/>
      <c r="AA306" s="475"/>
      <c r="AB306" s="475"/>
      <c r="AC306" s="475"/>
      <c r="AD306" s="475"/>
      <c r="AE306" s="475"/>
      <c r="AF306" s="475"/>
    </row>
    <row r="307" spans="1:32" ht="13.5" thickBot="1">
      <c r="A307" s="9"/>
      <c r="B307" s="9"/>
      <c r="C307" s="9"/>
      <c r="D307" s="9"/>
      <c r="E307" s="289">
        <f>+DSP!E127</f>
        <v>2</v>
      </c>
      <c r="F307" s="9"/>
      <c r="G307" s="9"/>
      <c r="H307" s="9"/>
      <c r="I307" s="399"/>
      <c r="J307" s="84"/>
      <c r="K307" s="84"/>
      <c r="L307" s="84"/>
      <c r="M307" s="411" t="s">
        <v>503</v>
      </c>
      <c r="N307" s="9"/>
      <c r="O307" s="9"/>
      <c r="P307" s="9"/>
      <c r="Q307" s="471"/>
      <c r="R307" s="470" t="s">
        <v>652</v>
      </c>
      <c r="S307" s="473"/>
      <c r="T307" s="473"/>
      <c r="U307" s="473"/>
      <c r="V307" s="473"/>
      <c r="W307" s="473"/>
      <c r="X307" s="473"/>
      <c r="Y307" s="473">
        <v>100</v>
      </c>
      <c r="Z307" s="473" t="s">
        <v>631</v>
      </c>
      <c r="AA307" s="473"/>
      <c r="AB307" s="473" t="s">
        <v>624</v>
      </c>
      <c r="AC307" s="473"/>
      <c r="AD307" s="473" t="s">
        <v>644</v>
      </c>
      <c r="AE307" s="473" t="s">
        <v>626</v>
      </c>
      <c r="AF307" s="473"/>
    </row>
    <row r="308" spans="1:32" ht="13.5" thickBot="1">
      <c r="A308" s="9"/>
      <c r="B308" s="9" t="s">
        <v>428</v>
      </c>
      <c r="C308" s="9"/>
      <c r="D308" s="9"/>
      <c r="E308" s="119" t="s">
        <v>322</v>
      </c>
      <c r="F308" s="52"/>
      <c r="G308" s="120"/>
      <c r="H308" s="9"/>
      <c r="I308" s="420" t="s">
        <v>517</v>
      </c>
      <c r="J308" s="116"/>
      <c r="K308" s="116"/>
      <c r="L308" s="116"/>
      <c r="M308" s="93"/>
      <c r="N308" s="9"/>
      <c r="O308" s="3"/>
      <c r="P308" s="9"/>
      <c r="Q308" s="469">
        <v>6</v>
      </c>
      <c r="R308" s="469" t="s">
        <v>653</v>
      </c>
      <c r="S308" s="475"/>
      <c r="T308" s="475"/>
      <c r="U308" s="475"/>
      <c r="V308" s="475"/>
      <c r="W308" s="475"/>
      <c r="X308" s="475"/>
      <c r="Y308" s="475"/>
      <c r="Z308" s="475"/>
      <c r="AA308" s="475"/>
      <c r="AB308" s="475"/>
      <c r="AC308" s="475"/>
      <c r="AD308" s="475"/>
      <c r="AE308" s="475"/>
      <c r="AF308" s="475"/>
    </row>
    <row r="309" spans="1:32" ht="12.75">
      <c r="A309" s="94"/>
      <c r="B309" s="80" t="s">
        <v>313</v>
      </c>
      <c r="C309" s="80"/>
      <c r="D309" s="165" t="s">
        <v>540</v>
      </c>
      <c r="E309" s="109" t="s">
        <v>323</v>
      </c>
      <c r="F309" s="109" t="s">
        <v>320</v>
      </c>
      <c r="G309" s="118" t="s">
        <v>321</v>
      </c>
      <c r="H309" s="9"/>
      <c r="I309" s="420" t="s">
        <v>516</v>
      </c>
      <c r="J309" s="116"/>
      <c r="K309" s="116"/>
      <c r="L309" s="116"/>
      <c r="M309" s="93"/>
      <c r="N309" s="9"/>
      <c r="O309" s="3"/>
      <c r="P309" s="9"/>
      <c r="Q309" s="471"/>
      <c r="R309" s="470" t="s">
        <v>654</v>
      </c>
      <c r="S309" s="473"/>
      <c r="T309" s="473"/>
      <c r="U309" s="473"/>
      <c r="V309" s="473"/>
      <c r="W309" s="473"/>
      <c r="X309" s="473"/>
      <c r="Y309" s="473"/>
      <c r="Z309" s="473">
        <v>100</v>
      </c>
      <c r="AA309" s="473" t="s">
        <v>623</v>
      </c>
      <c r="AB309" s="473" t="s">
        <v>634</v>
      </c>
      <c r="AC309" s="473" t="s">
        <v>650</v>
      </c>
      <c r="AD309" s="473" t="s">
        <v>626</v>
      </c>
      <c r="AE309" s="473"/>
      <c r="AF309" s="473"/>
    </row>
    <row r="310" spans="1:33" ht="12.75">
      <c r="A310" s="96"/>
      <c r="B310" s="116"/>
      <c r="C310" s="116"/>
      <c r="D310" s="117"/>
      <c r="E310" s="109">
        <v>202</v>
      </c>
      <c r="F310" s="109">
        <v>0.2</v>
      </c>
      <c r="G310" s="121" t="str">
        <f>IF(E307=1,"CERO",IF(E307=3,F310*E310,IF(E307=2,"TABLA","")))</f>
        <v>TABLA</v>
      </c>
      <c r="H310" s="9"/>
      <c r="I310" s="421" t="s">
        <v>518</v>
      </c>
      <c r="J310" s="82"/>
      <c r="K310" s="82"/>
      <c r="L310" s="82"/>
      <c r="M310" s="160"/>
      <c r="N310" s="9"/>
      <c r="O310" s="3"/>
      <c r="P310" s="9"/>
      <c r="Q310" s="469">
        <v>67</v>
      </c>
      <c r="R310" s="469" t="s">
        <v>655</v>
      </c>
      <c r="S310" s="475"/>
      <c r="T310" s="475"/>
      <c r="U310" s="475"/>
      <c r="V310" s="475"/>
      <c r="W310" s="475"/>
      <c r="X310" s="475"/>
      <c r="Y310" s="475"/>
      <c r="Z310" s="475"/>
      <c r="AA310" s="475"/>
      <c r="AB310" s="475"/>
      <c r="AC310" s="475"/>
      <c r="AD310" s="475"/>
      <c r="AE310" s="475"/>
      <c r="AF310" s="475"/>
      <c r="AG310" s="468"/>
    </row>
    <row r="311" spans="1:33" ht="13.5" thickBot="1">
      <c r="A311" s="192">
        <v>1</v>
      </c>
      <c r="B311" s="113" t="s">
        <v>686</v>
      </c>
      <c r="C311" s="113"/>
      <c r="D311" s="114">
        <v>100</v>
      </c>
      <c r="E311" s="272"/>
      <c r="F311" s="272"/>
      <c r="G311" s="58"/>
      <c r="H311" s="9"/>
      <c r="I311" s="9"/>
      <c r="J311" s="9"/>
      <c r="K311" s="9"/>
      <c r="L311" s="9"/>
      <c r="M311" s="9"/>
      <c r="N311" s="9"/>
      <c r="O311" s="9"/>
      <c r="P311" s="9"/>
      <c r="Q311" s="471"/>
      <c r="R311" s="470" t="s">
        <v>656</v>
      </c>
      <c r="S311" s="473"/>
      <c r="T311" s="473"/>
      <c r="U311" s="473"/>
      <c r="V311" s="473"/>
      <c r="W311" s="473"/>
      <c r="X311" s="473"/>
      <c r="Y311" s="473"/>
      <c r="Z311" s="473">
        <v>100</v>
      </c>
      <c r="AA311" s="473" t="s">
        <v>623</v>
      </c>
      <c r="AB311" s="473"/>
      <c r="AC311" s="473" t="s">
        <v>634</v>
      </c>
      <c r="AD311" s="473" t="s">
        <v>644</v>
      </c>
      <c r="AE311" s="473" t="s">
        <v>626</v>
      </c>
      <c r="AF311" s="473"/>
      <c r="AG311" s="468"/>
    </row>
    <row r="312" spans="1:33" ht="12.75">
      <c r="A312" s="192">
        <v>2</v>
      </c>
      <c r="B312" s="113" t="s">
        <v>330</v>
      </c>
      <c r="C312" s="113"/>
      <c r="D312" s="114">
        <v>140</v>
      </c>
      <c r="E312" s="94"/>
      <c r="F312" s="165" t="s">
        <v>539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469">
        <v>7</v>
      </c>
      <c r="R312" s="469" t="s">
        <v>657</v>
      </c>
      <c r="S312" s="475"/>
      <c r="T312" s="475"/>
      <c r="U312" s="475"/>
      <c r="V312" s="475"/>
      <c r="W312" s="475"/>
      <c r="X312" s="475"/>
      <c r="Y312" s="475"/>
      <c r="Z312" s="475"/>
      <c r="AA312" s="475"/>
      <c r="AB312" s="475"/>
      <c r="AC312" s="475"/>
      <c r="AD312" s="475"/>
      <c r="AE312" s="475"/>
      <c r="AF312" s="475"/>
      <c r="AG312" s="468"/>
    </row>
    <row r="313" spans="1:33" ht="12.75">
      <c r="A313" s="192">
        <v>3</v>
      </c>
      <c r="B313" s="115" t="s">
        <v>331</v>
      </c>
      <c r="C313" s="116"/>
      <c r="D313" s="114">
        <v>175</v>
      </c>
      <c r="E313" s="96"/>
      <c r="F313" s="117" t="s">
        <v>541</v>
      </c>
      <c r="G313" s="9"/>
      <c r="H313" s="9" t="s">
        <v>406</v>
      </c>
      <c r="I313" s="9"/>
      <c r="J313" s="9"/>
      <c r="K313" s="9"/>
      <c r="L313" s="9"/>
      <c r="M313" s="9"/>
      <c r="N313" s="9"/>
      <c r="O313" s="9"/>
      <c r="P313" s="9"/>
      <c r="Q313" s="471"/>
      <c r="R313" s="470" t="s">
        <v>658</v>
      </c>
      <c r="S313" s="473"/>
      <c r="T313" s="473"/>
      <c r="U313" s="473"/>
      <c r="V313" s="473"/>
      <c r="W313" s="473"/>
      <c r="X313" s="473"/>
      <c r="Y313" s="473"/>
      <c r="Z313" s="473"/>
      <c r="AA313" s="473">
        <v>100</v>
      </c>
      <c r="AB313" s="473" t="s">
        <v>623</v>
      </c>
      <c r="AC313" s="473" t="s">
        <v>659</v>
      </c>
      <c r="AD313" s="473" t="s">
        <v>625</v>
      </c>
      <c r="AE313" s="473" t="s">
        <v>626</v>
      </c>
      <c r="AF313" s="473"/>
      <c r="AG313" s="468"/>
    </row>
    <row r="314" spans="1:33" ht="12.75">
      <c r="A314" s="192">
        <v>4</v>
      </c>
      <c r="B314" s="115" t="s">
        <v>332</v>
      </c>
      <c r="C314" s="116"/>
      <c r="D314" s="114">
        <v>210</v>
      </c>
      <c r="E314" s="96">
        <v>1</v>
      </c>
      <c r="F314" s="114">
        <v>245</v>
      </c>
      <c r="G314" s="9"/>
      <c r="H314" s="9" t="s">
        <v>543</v>
      </c>
      <c r="I314" s="9" t="s">
        <v>503</v>
      </c>
      <c r="J314" s="9"/>
      <c r="K314" s="9"/>
      <c r="L314" s="9"/>
      <c r="M314" s="9"/>
      <c r="N314" s="9"/>
      <c r="O314" s="9"/>
      <c r="P314" s="9"/>
      <c r="Q314" s="469">
        <v>8</v>
      </c>
      <c r="R314" s="469" t="s">
        <v>660</v>
      </c>
      <c r="S314" s="475"/>
      <c r="T314" s="475"/>
      <c r="U314" s="475"/>
      <c r="V314" s="475"/>
      <c r="W314" s="475"/>
      <c r="X314" s="475"/>
      <c r="Y314" s="475"/>
      <c r="Z314" s="475"/>
      <c r="AA314" s="475"/>
      <c r="AB314" s="475"/>
      <c r="AC314" s="475"/>
      <c r="AD314" s="475"/>
      <c r="AE314" s="475"/>
      <c r="AF314" s="475"/>
      <c r="AG314" s="468"/>
    </row>
    <row r="315" spans="1:33" ht="12.75">
      <c r="A315" s="192">
        <v>5</v>
      </c>
      <c r="B315" s="115" t="s">
        <v>333</v>
      </c>
      <c r="C315" s="116"/>
      <c r="D315" s="114">
        <v>245</v>
      </c>
      <c r="E315" s="96">
        <v>2</v>
      </c>
      <c r="F315" s="114">
        <v>280</v>
      </c>
      <c r="G315" s="9"/>
      <c r="H315" s="9" t="s">
        <v>542</v>
      </c>
      <c r="I315" s="291">
        <v>1</v>
      </c>
      <c r="J315" s="9"/>
      <c r="K315" s="9"/>
      <c r="L315" s="9"/>
      <c r="M315" s="9"/>
      <c r="N315" s="9"/>
      <c r="O315" s="9"/>
      <c r="P315" s="9"/>
      <c r="Q315" s="470"/>
      <c r="R315" s="470" t="s">
        <v>661</v>
      </c>
      <c r="S315" s="470"/>
      <c r="T315" s="470"/>
      <c r="U315" s="470"/>
      <c r="V315" s="470"/>
      <c r="W315" s="470"/>
      <c r="X315" s="470"/>
      <c r="Y315" s="470"/>
      <c r="Z315" s="470"/>
      <c r="AA315" s="470"/>
      <c r="AB315" s="470">
        <v>100</v>
      </c>
      <c r="AC315" s="470" t="s">
        <v>662</v>
      </c>
      <c r="AD315" s="470" t="s">
        <v>636</v>
      </c>
      <c r="AE315" s="470" t="s">
        <v>644</v>
      </c>
      <c r="AF315" s="470" t="s">
        <v>626</v>
      </c>
      <c r="AG315" s="468"/>
    </row>
    <row r="316" spans="1:33" ht="12.75">
      <c r="A316" s="192">
        <v>6</v>
      </c>
      <c r="B316" s="115" t="s">
        <v>334</v>
      </c>
      <c r="C316" s="116"/>
      <c r="D316" s="114">
        <v>280</v>
      </c>
      <c r="E316" s="96">
        <v>3</v>
      </c>
      <c r="F316" s="114">
        <v>315</v>
      </c>
      <c r="G316" s="9"/>
      <c r="H316" s="9"/>
      <c r="I316" s="291">
        <f>+IF(I315=1,1,1)</f>
        <v>1</v>
      </c>
      <c r="J316" s="9"/>
      <c r="K316" s="9"/>
      <c r="L316" s="9"/>
      <c r="M316" s="9"/>
      <c r="N316" s="9"/>
      <c r="O316" s="9"/>
      <c r="P316" s="9"/>
      <c r="Q316" s="467"/>
      <c r="R316" s="467"/>
      <c r="S316" s="467"/>
      <c r="T316" s="467"/>
      <c r="U316" s="467"/>
      <c r="V316" s="467"/>
      <c r="W316" s="467"/>
      <c r="X316" s="467"/>
      <c r="Y316" s="467"/>
      <c r="Z316" s="467"/>
      <c r="AA316" s="467"/>
      <c r="AB316" s="467"/>
      <c r="AC316" s="467"/>
      <c r="AD316" s="467"/>
      <c r="AE316" s="467"/>
      <c r="AF316" s="468"/>
      <c r="AG316" s="468"/>
    </row>
    <row r="317" spans="1:31" ht="12.75">
      <c r="A317" s="192">
        <v>7</v>
      </c>
      <c r="B317" s="115" t="s">
        <v>335</v>
      </c>
      <c r="C317" s="116"/>
      <c r="D317" s="114">
        <v>315</v>
      </c>
      <c r="E317" s="96">
        <v>4</v>
      </c>
      <c r="F317" s="114">
        <v>350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2.75">
      <c r="A318" s="192">
        <v>8</v>
      </c>
      <c r="B318" s="115" t="s">
        <v>336</v>
      </c>
      <c r="C318" s="116"/>
      <c r="D318" s="114">
        <v>350</v>
      </c>
      <c r="E318" s="96">
        <v>5</v>
      </c>
      <c r="F318" s="114">
        <v>400</v>
      </c>
      <c r="G318" s="9"/>
      <c r="H318" s="428"/>
      <c r="I318" s="499"/>
      <c r="J318" s="499"/>
      <c r="K318" s="428"/>
      <c r="L318" s="428"/>
      <c r="M318" s="428"/>
      <c r="N318" s="428"/>
      <c r="O318" s="428"/>
      <c r="P318" s="428"/>
      <c r="Q318" s="428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2.75">
      <c r="A319" s="192">
        <v>9</v>
      </c>
      <c r="B319" s="115" t="s">
        <v>337</v>
      </c>
      <c r="C319" s="116"/>
      <c r="D319" s="114">
        <v>400</v>
      </c>
      <c r="E319" s="96"/>
      <c r="F319" s="117"/>
      <c r="G319" s="9"/>
      <c r="H319" s="428"/>
      <c r="I319" s="499"/>
      <c r="J319" s="499"/>
      <c r="K319" s="428"/>
      <c r="L319" s="428"/>
      <c r="M319" s="428"/>
      <c r="N319" s="428"/>
      <c r="O319" s="428"/>
      <c r="P319" s="428"/>
      <c r="Q319" s="428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2.75">
      <c r="A320" s="96"/>
      <c r="B320" s="116"/>
      <c r="C320" s="116"/>
      <c r="D320" s="117"/>
      <c r="E320" s="96"/>
      <c r="F320" s="117"/>
      <c r="G320" s="9"/>
      <c r="H320" s="428"/>
      <c r="I320" s="500"/>
      <c r="J320" s="500"/>
      <c r="K320" s="501"/>
      <c r="L320" s="502"/>
      <c r="M320" s="502"/>
      <c r="N320" s="503"/>
      <c r="O320" s="503"/>
      <c r="P320" s="504"/>
      <c r="Q320" s="504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2.75">
      <c r="A321" s="96"/>
      <c r="B321" s="115" t="s">
        <v>341</v>
      </c>
      <c r="C321" s="116"/>
      <c r="D321" s="118" t="s">
        <v>342</v>
      </c>
      <c r="E321" s="96"/>
      <c r="F321" s="118" t="s">
        <v>342</v>
      </c>
      <c r="G321" s="9"/>
      <c r="H321" s="428"/>
      <c r="I321" s="500"/>
      <c r="J321" s="500"/>
      <c r="K321" s="501"/>
      <c r="L321" s="502"/>
      <c r="M321" s="502"/>
      <c r="N321" s="505"/>
      <c r="O321" s="505"/>
      <c r="P321" s="502"/>
      <c r="Q321" s="502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2.75">
      <c r="A322" s="96"/>
      <c r="B322" s="123">
        <v>4</v>
      </c>
      <c r="C322" s="116"/>
      <c r="D322" s="122">
        <f>VLOOKUP(B322,tabla60,4)</f>
        <v>210</v>
      </c>
      <c r="E322" s="96"/>
      <c r="F322" s="122">
        <f>VLOOKUP(I316,tabla62,2)</f>
        <v>245</v>
      </c>
      <c r="G322" s="9"/>
      <c r="H322" s="428"/>
      <c r="I322" s="500"/>
      <c r="J322" s="500"/>
      <c r="K322" s="501"/>
      <c r="L322" s="502"/>
      <c r="M322" s="502"/>
      <c r="N322" s="505"/>
      <c r="O322" s="505"/>
      <c r="P322" s="504"/>
      <c r="Q322" s="504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2.75">
      <c r="A323" s="96"/>
      <c r="B323" s="116"/>
      <c r="C323" s="116"/>
      <c r="D323" s="117"/>
      <c r="E323" s="446">
        <f>IF(I315=1,D322,IF(I315=2,MAX(D322,F322)))</f>
        <v>210</v>
      </c>
      <c r="F323" s="117"/>
      <c r="G323" s="9"/>
      <c r="H323" s="428"/>
      <c r="I323" s="500"/>
      <c r="J323" s="500"/>
      <c r="K323" s="501"/>
      <c r="L323" s="502"/>
      <c r="M323" s="502"/>
      <c r="N323" s="505"/>
      <c r="O323" s="505"/>
      <c r="P323" s="504"/>
      <c r="Q323" s="504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3.5" thickBot="1">
      <c r="A324" s="95"/>
      <c r="B324" s="88"/>
      <c r="C324" s="88"/>
      <c r="D324" s="172"/>
      <c r="E324" s="95"/>
      <c r="F324" s="172"/>
      <c r="G324" s="9"/>
      <c r="H324" s="428"/>
      <c r="I324" s="500"/>
      <c r="J324" s="500"/>
      <c r="K324" s="501"/>
      <c r="L324" s="502"/>
      <c r="M324" s="502"/>
      <c r="N324" s="505"/>
      <c r="O324" s="505"/>
      <c r="P324" s="504"/>
      <c r="Q324" s="504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2.75">
      <c r="A325" s="9"/>
      <c r="B325" s="9"/>
      <c r="C325" s="9"/>
      <c r="D325" s="9"/>
      <c r="E325" s="9"/>
      <c r="F325" s="9"/>
      <c r="G325" s="9"/>
      <c r="H325" s="428"/>
      <c r="I325" s="500"/>
      <c r="J325" s="500"/>
      <c r="K325" s="501"/>
      <c r="L325" s="502"/>
      <c r="M325" s="502"/>
      <c r="N325" s="505"/>
      <c r="O325" s="505"/>
      <c r="P325" s="504"/>
      <c r="Q325" s="504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2.75">
      <c r="A326" s="9"/>
      <c r="B326" s="9"/>
      <c r="C326" s="9"/>
      <c r="D326" s="9"/>
      <c r="E326" s="9"/>
      <c r="F326" s="9"/>
      <c r="G326" s="9"/>
      <c r="H326" s="504"/>
      <c r="I326" s="504"/>
      <c r="J326" s="504"/>
      <c r="K326" s="504"/>
      <c r="L326" s="504"/>
      <c r="M326" s="504"/>
      <c r="N326" s="504"/>
      <c r="O326" s="504"/>
      <c r="P326" s="504"/>
      <c r="Q326" s="504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2.75">
      <c r="A327" s="190">
        <v>10</v>
      </c>
      <c r="B327" s="191" t="s">
        <v>353</v>
      </c>
      <c r="C327" s="164"/>
      <c r="D327" s="164"/>
      <c r="E327" s="9"/>
      <c r="F327" s="9"/>
      <c r="G327" s="9"/>
      <c r="H327" s="10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2.75">
      <c r="A328" s="9"/>
      <c r="B328" s="50"/>
      <c r="C328" s="9"/>
      <c r="D328" s="9"/>
      <c r="E328" s="9"/>
      <c r="F328" s="9"/>
      <c r="G328" s="9"/>
      <c r="H328" s="10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2.75">
      <c r="A329" s="9"/>
      <c r="B329" s="50"/>
      <c r="C329" s="9"/>
      <c r="D329" s="9"/>
      <c r="E329" s="9"/>
      <c r="F329" s="9"/>
      <c r="G329" s="9"/>
      <c r="H329" s="10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2.75">
      <c r="A330" s="9"/>
      <c r="B330" s="9"/>
      <c r="C330" s="50"/>
      <c r="D330" s="9" t="s">
        <v>38</v>
      </c>
      <c r="E330" s="10"/>
      <c r="F330" s="10"/>
      <c r="G330" s="10"/>
      <c r="H330" s="10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2.75">
      <c r="A331" s="9"/>
      <c r="B331" s="9"/>
      <c r="C331" s="292"/>
      <c r="D331" s="301"/>
      <c r="E331" s="153"/>
      <c r="F331" s="159" t="s">
        <v>39</v>
      </c>
      <c r="G331" s="299" t="s">
        <v>40</v>
      </c>
      <c r="H331" s="10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2.75">
      <c r="A332" s="9"/>
      <c r="B332" s="9"/>
      <c r="C332" s="293" t="s">
        <v>51</v>
      </c>
      <c r="D332" s="302" t="s">
        <v>41</v>
      </c>
      <c r="E332" s="10" t="s">
        <v>42</v>
      </c>
      <c r="F332" s="154" t="s">
        <v>43</v>
      </c>
      <c r="G332" s="300" t="s">
        <v>44</v>
      </c>
      <c r="H332" s="10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2.75">
      <c r="A333" s="9"/>
      <c r="B333" s="9"/>
      <c r="C333" s="193"/>
      <c r="D333" s="303"/>
      <c r="E333" s="15"/>
      <c r="F333" s="155"/>
      <c r="G333" s="295" t="s">
        <v>45</v>
      </c>
      <c r="H333" s="10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2.75">
      <c r="A334" s="9"/>
      <c r="B334" s="9"/>
      <c r="C334" s="159">
        <v>1</v>
      </c>
      <c r="D334" s="299" t="s">
        <v>414</v>
      </c>
      <c r="E334" s="85" t="s">
        <v>46</v>
      </c>
      <c r="F334" s="10">
        <v>3.11</v>
      </c>
      <c r="G334" s="297">
        <v>3500</v>
      </c>
      <c r="H334" s="10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2.75">
      <c r="A335" s="9"/>
      <c r="B335" s="9"/>
      <c r="C335" s="154">
        <f>+C334+1</f>
        <v>2</v>
      </c>
      <c r="D335" s="300" t="s">
        <v>415</v>
      </c>
      <c r="E335" s="85" t="s">
        <v>47</v>
      </c>
      <c r="F335" s="10">
        <v>2.97</v>
      </c>
      <c r="G335" s="294">
        <v>5000</v>
      </c>
      <c r="H335" s="10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2.75">
      <c r="A336" s="9"/>
      <c r="B336" s="9"/>
      <c r="C336" s="154">
        <f aca="true" t="shared" si="15" ref="C336:C343">+C335+1</f>
        <v>3</v>
      </c>
      <c r="D336" s="300" t="s">
        <v>416</v>
      </c>
      <c r="E336" s="85" t="s">
        <v>46</v>
      </c>
      <c r="F336" s="10">
        <v>3.12</v>
      </c>
      <c r="G336" s="294">
        <v>3300</v>
      </c>
      <c r="H336" s="10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2.75">
      <c r="A337" s="9"/>
      <c r="B337" s="9"/>
      <c r="C337" s="154">
        <f t="shared" si="15"/>
        <v>4</v>
      </c>
      <c r="D337" s="300" t="s">
        <v>417</v>
      </c>
      <c r="E337" s="85" t="s">
        <v>48</v>
      </c>
      <c r="F337" s="10">
        <v>3.17</v>
      </c>
      <c r="G337" s="294">
        <v>3300</v>
      </c>
      <c r="H337" s="10" t="s">
        <v>353</v>
      </c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2.75">
      <c r="A338" s="9"/>
      <c r="B338" s="9"/>
      <c r="C338" s="154">
        <f t="shared" si="15"/>
        <v>5</v>
      </c>
      <c r="D338" s="300" t="s">
        <v>417</v>
      </c>
      <c r="E338" s="85" t="s">
        <v>49</v>
      </c>
      <c r="F338" s="10">
        <v>3.15</v>
      </c>
      <c r="G338" s="294">
        <v>3300</v>
      </c>
      <c r="H338" s="290">
        <v>1</v>
      </c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2.75">
      <c r="A339" s="9"/>
      <c r="B339" s="9"/>
      <c r="C339" s="154">
        <f t="shared" si="15"/>
        <v>6</v>
      </c>
      <c r="D339" s="300" t="s">
        <v>418</v>
      </c>
      <c r="E339" s="85" t="s">
        <v>46</v>
      </c>
      <c r="F339" s="10">
        <v>3.11</v>
      </c>
      <c r="G339" s="294">
        <v>3100</v>
      </c>
      <c r="H339" s="10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2.75">
      <c r="A340" s="9"/>
      <c r="B340" s="9"/>
      <c r="C340" s="154">
        <f t="shared" si="15"/>
        <v>7</v>
      </c>
      <c r="D340" s="300" t="s">
        <v>419</v>
      </c>
      <c r="E340" s="85" t="s">
        <v>47</v>
      </c>
      <c r="F340" s="10">
        <v>3.06</v>
      </c>
      <c r="G340" s="294">
        <v>3600</v>
      </c>
      <c r="H340" s="10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2.75">
      <c r="A341" s="9"/>
      <c r="B341" s="9"/>
      <c r="C341" s="154">
        <f t="shared" si="15"/>
        <v>8</v>
      </c>
      <c r="D341" s="300" t="s">
        <v>420</v>
      </c>
      <c r="E341" s="85" t="s">
        <v>50</v>
      </c>
      <c r="F341" s="10">
        <v>3.09</v>
      </c>
      <c r="G341" s="294">
        <v>3500</v>
      </c>
      <c r="H341" s="10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2.75">
      <c r="A342" s="9"/>
      <c r="B342" s="9"/>
      <c r="C342" s="154">
        <f t="shared" si="15"/>
        <v>9</v>
      </c>
      <c r="D342" s="300" t="s">
        <v>421</v>
      </c>
      <c r="E342" s="85" t="s">
        <v>46</v>
      </c>
      <c r="F342" s="10">
        <v>3.14</v>
      </c>
      <c r="G342" s="294">
        <v>3800</v>
      </c>
      <c r="H342" s="10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2.75">
      <c r="A343" s="9"/>
      <c r="B343" s="9"/>
      <c r="C343" s="295">
        <f t="shared" si="15"/>
        <v>10</v>
      </c>
      <c r="D343" s="300" t="s">
        <v>421</v>
      </c>
      <c r="E343" s="83" t="s">
        <v>50</v>
      </c>
      <c r="F343" s="15">
        <v>3.12</v>
      </c>
      <c r="G343" s="298"/>
      <c r="H343" s="10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2.75">
      <c r="A344" s="9"/>
      <c r="B344" s="9"/>
      <c r="C344" s="50"/>
      <c r="D344" s="10"/>
      <c r="E344" s="10"/>
      <c r="F344" s="10"/>
      <c r="G344" s="10"/>
      <c r="H344" s="10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2.75">
      <c r="A348" s="9"/>
      <c r="B348" s="9"/>
      <c r="C348" s="9"/>
      <c r="D348" s="9"/>
      <c r="E348" s="9"/>
      <c r="F348" s="9"/>
      <c r="G348" s="861" t="s">
        <v>694</v>
      </c>
      <c r="H348" s="862"/>
      <c r="I348" s="862"/>
      <c r="J348" s="863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2.75">
      <c r="A349" s="9"/>
      <c r="B349" s="9"/>
      <c r="C349" s="9"/>
      <c r="D349" s="9"/>
      <c r="E349" s="9"/>
      <c r="F349" s="9"/>
      <c r="G349" s="864"/>
      <c r="H349" s="865"/>
      <c r="I349" s="865"/>
      <c r="J349" s="866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2.75">
      <c r="A350" s="9"/>
      <c r="B350" s="9"/>
      <c r="C350" s="9"/>
      <c r="D350" s="9"/>
      <c r="E350" s="9"/>
      <c r="F350" s="9"/>
      <c r="G350" s="867"/>
      <c r="H350" s="868"/>
      <c r="I350" s="868"/>
      <c r="J350" s="86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2.75">
      <c r="A351" s="9"/>
      <c r="B351" s="9"/>
      <c r="C351" s="9"/>
      <c r="D351" s="9"/>
      <c r="E351" s="9"/>
      <c r="F351" s="9"/>
      <c r="G351" s="506">
        <v>1</v>
      </c>
      <c r="H351" s="507">
        <v>40</v>
      </c>
      <c r="I351" s="507">
        <f>H351</f>
        <v>40</v>
      </c>
      <c r="J351" s="508">
        <f>I351</f>
        <v>40</v>
      </c>
      <c r="K351" s="9">
        <v>30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2.75">
      <c r="A352" s="9"/>
      <c r="B352" s="9"/>
      <c r="C352" s="9"/>
      <c r="D352" s="9"/>
      <c r="E352" s="9"/>
      <c r="F352" s="9"/>
      <c r="G352" s="506">
        <f aca="true" t="shared" si="16" ref="G352:G415">+G351+1</f>
        <v>2</v>
      </c>
      <c r="H352" s="507">
        <f>0.5+H351</f>
        <v>40.5</v>
      </c>
      <c r="I352" s="507">
        <f aca="true" t="shared" si="17" ref="I352:J383">H352</f>
        <v>40.5</v>
      </c>
      <c r="J352" s="508">
        <f t="shared" si="17"/>
        <v>40.5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2.75">
      <c r="A353" s="9"/>
      <c r="B353" s="9"/>
      <c r="C353" s="9"/>
      <c r="D353" s="9"/>
      <c r="E353" s="9"/>
      <c r="F353" s="9"/>
      <c r="G353" s="506">
        <f t="shared" si="16"/>
        <v>3</v>
      </c>
      <c r="H353" s="507">
        <f aca="true" t="shared" si="18" ref="H353:H416">0.5+H352</f>
        <v>41</v>
      </c>
      <c r="I353" s="507">
        <f t="shared" si="17"/>
        <v>41</v>
      </c>
      <c r="J353" s="508">
        <f t="shared" si="17"/>
        <v>41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2.75">
      <c r="A354" s="9"/>
      <c r="B354" s="9"/>
      <c r="C354" s="9"/>
      <c r="D354" s="9"/>
      <c r="E354" s="9"/>
      <c r="F354" s="9"/>
      <c r="G354" s="506">
        <f t="shared" si="16"/>
        <v>4</v>
      </c>
      <c r="H354" s="507">
        <f t="shared" si="18"/>
        <v>41.5</v>
      </c>
      <c r="I354" s="507">
        <f t="shared" si="17"/>
        <v>41.5</v>
      </c>
      <c r="J354" s="508">
        <f t="shared" si="17"/>
        <v>41.5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2.75">
      <c r="A355" s="9"/>
      <c r="B355" s="9"/>
      <c r="C355" s="9"/>
      <c r="D355" s="9"/>
      <c r="E355" s="9"/>
      <c r="F355" s="9"/>
      <c r="G355" s="506">
        <f t="shared" si="16"/>
        <v>5</v>
      </c>
      <c r="H355" s="507">
        <f t="shared" si="18"/>
        <v>42</v>
      </c>
      <c r="I355" s="507">
        <f t="shared" si="17"/>
        <v>42</v>
      </c>
      <c r="J355" s="508">
        <f t="shared" si="17"/>
        <v>42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2.75">
      <c r="A356" s="9"/>
      <c r="B356" s="9"/>
      <c r="C356" s="9"/>
      <c r="D356" s="9"/>
      <c r="E356" s="9"/>
      <c r="F356" s="9"/>
      <c r="G356" s="506">
        <f t="shared" si="16"/>
        <v>6</v>
      </c>
      <c r="H356" s="507">
        <f t="shared" si="18"/>
        <v>42.5</v>
      </c>
      <c r="I356" s="507">
        <f t="shared" si="17"/>
        <v>42.5</v>
      </c>
      <c r="J356" s="508">
        <f t="shared" si="17"/>
        <v>42.5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2.75">
      <c r="A357" s="9"/>
      <c r="B357" s="9"/>
      <c r="C357" s="9"/>
      <c r="D357" s="9"/>
      <c r="E357" s="9"/>
      <c r="F357" s="9"/>
      <c r="G357" s="506">
        <f t="shared" si="16"/>
        <v>7</v>
      </c>
      <c r="H357" s="507">
        <f t="shared" si="18"/>
        <v>43</v>
      </c>
      <c r="I357" s="507">
        <f t="shared" si="17"/>
        <v>43</v>
      </c>
      <c r="J357" s="508">
        <f t="shared" si="17"/>
        <v>43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2.75">
      <c r="A358" s="9"/>
      <c r="B358" s="9"/>
      <c r="C358" s="9"/>
      <c r="D358" s="9"/>
      <c r="E358" s="9"/>
      <c r="F358" s="9"/>
      <c r="G358" s="506">
        <f t="shared" si="16"/>
        <v>8</v>
      </c>
      <c r="H358" s="507">
        <f t="shared" si="18"/>
        <v>43.5</v>
      </c>
      <c r="I358" s="507">
        <f t="shared" si="17"/>
        <v>43.5</v>
      </c>
      <c r="J358" s="508">
        <f t="shared" si="17"/>
        <v>43.5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2.75">
      <c r="A359" s="9"/>
      <c r="B359" s="9"/>
      <c r="C359" s="9"/>
      <c r="D359" s="9"/>
      <c r="E359" s="9"/>
      <c r="F359" s="9"/>
      <c r="G359" s="506">
        <f t="shared" si="16"/>
        <v>9</v>
      </c>
      <c r="H359" s="507">
        <f t="shared" si="18"/>
        <v>44</v>
      </c>
      <c r="I359" s="507">
        <f t="shared" si="17"/>
        <v>44</v>
      </c>
      <c r="J359" s="508">
        <f t="shared" si="17"/>
        <v>44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2.75">
      <c r="A360" s="9"/>
      <c r="B360" s="9"/>
      <c r="C360" s="9"/>
      <c r="D360" s="9"/>
      <c r="E360" s="9"/>
      <c r="F360" s="9"/>
      <c r="G360" s="506">
        <f t="shared" si="16"/>
        <v>10</v>
      </c>
      <c r="H360" s="507">
        <f t="shared" si="18"/>
        <v>44.5</v>
      </c>
      <c r="I360" s="507">
        <f t="shared" si="17"/>
        <v>44.5</v>
      </c>
      <c r="J360" s="508">
        <f t="shared" si="17"/>
        <v>44.5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2.75">
      <c r="A361" s="9"/>
      <c r="B361" s="9"/>
      <c r="C361" s="9"/>
      <c r="D361" s="9"/>
      <c r="E361" s="9"/>
      <c r="F361" s="9"/>
      <c r="G361" s="506">
        <f t="shared" si="16"/>
        <v>11</v>
      </c>
      <c r="H361" s="507">
        <f t="shared" si="18"/>
        <v>45</v>
      </c>
      <c r="I361" s="507">
        <f t="shared" si="17"/>
        <v>45</v>
      </c>
      <c r="J361" s="508">
        <f t="shared" si="17"/>
        <v>45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2.75">
      <c r="A362" s="9"/>
      <c r="B362" s="9"/>
      <c r="C362" s="9"/>
      <c r="D362" s="9"/>
      <c r="E362" s="9"/>
      <c r="F362" s="9"/>
      <c r="G362" s="506">
        <f t="shared" si="16"/>
        <v>12</v>
      </c>
      <c r="H362" s="507">
        <f t="shared" si="18"/>
        <v>45.5</v>
      </c>
      <c r="I362" s="507">
        <f t="shared" si="17"/>
        <v>45.5</v>
      </c>
      <c r="J362" s="508">
        <f t="shared" si="17"/>
        <v>45.5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2.75">
      <c r="A363" s="9"/>
      <c r="B363" s="9"/>
      <c r="C363" s="9"/>
      <c r="D363" s="9"/>
      <c r="E363" s="9"/>
      <c r="F363" s="9"/>
      <c r="G363" s="506">
        <f t="shared" si="16"/>
        <v>13</v>
      </c>
      <c r="H363" s="507">
        <f t="shared" si="18"/>
        <v>46</v>
      </c>
      <c r="I363" s="507">
        <f t="shared" si="17"/>
        <v>46</v>
      </c>
      <c r="J363" s="508">
        <f t="shared" si="17"/>
        <v>46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2.75">
      <c r="A364" s="9"/>
      <c r="B364" s="9"/>
      <c r="C364" s="9"/>
      <c r="D364" s="9"/>
      <c r="E364" s="9"/>
      <c r="F364" s="9"/>
      <c r="G364" s="506">
        <f t="shared" si="16"/>
        <v>14</v>
      </c>
      <c r="H364" s="507">
        <f t="shared" si="18"/>
        <v>46.5</v>
      </c>
      <c r="I364" s="507">
        <f t="shared" si="17"/>
        <v>46.5</v>
      </c>
      <c r="J364" s="508">
        <f t="shared" si="17"/>
        <v>46.5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2.75">
      <c r="A365" s="9"/>
      <c r="B365" s="9"/>
      <c r="C365" s="9"/>
      <c r="D365" s="9"/>
      <c r="E365" s="9"/>
      <c r="F365" s="9"/>
      <c r="G365" s="506">
        <f t="shared" si="16"/>
        <v>15</v>
      </c>
      <c r="H365" s="507">
        <f t="shared" si="18"/>
        <v>47</v>
      </c>
      <c r="I365" s="507">
        <f t="shared" si="17"/>
        <v>47</v>
      </c>
      <c r="J365" s="508">
        <f t="shared" si="17"/>
        <v>47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2.75">
      <c r="A366" s="9"/>
      <c r="B366" s="9"/>
      <c r="C366" s="9"/>
      <c r="D366" s="9"/>
      <c r="E366" s="9"/>
      <c r="F366" s="9"/>
      <c r="G366" s="506">
        <f t="shared" si="16"/>
        <v>16</v>
      </c>
      <c r="H366" s="507">
        <f t="shared" si="18"/>
        <v>47.5</v>
      </c>
      <c r="I366" s="507">
        <f t="shared" si="17"/>
        <v>47.5</v>
      </c>
      <c r="J366" s="508">
        <f t="shared" si="17"/>
        <v>47.5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2.75">
      <c r="A367" s="9"/>
      <c r="B367" s="9"/>
      <c r="C367" s="9"/>
      <c r="D367" s="9"/>
      <c r="E367" s="9"/>
      <c r="F367" s="9"/>
      <c r="G367" s="506">
        <f t="shared" si="16"/>
        <v>17</v>
      </c>
      <c r="H367" s="507">
        <f t="shared" si="18"/>
        <v>48</v>
      </c>
      <c r="I367" s="507">
        <f t="shared" si="17"/>
        <v>48</v>
      </c>
      <c r="J367" s="508">
        <f t="shared" si="17"/>
        <v>48</v>
      </c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2.75">
      <c r="A368" s="9"/>
      <c r="B368" s="9"/>
      <c r="C368" s="9"/>
      <c r="D368" s="9"/>
      <c r="E368" s="9"/>
      <c r="F368" s="9"/>
      <c r="G368" s="506">
        <f t="shared" si="16"/>
        <v>18</v>
      </c>
      <c r="H368" s="507">
        <f t="shared" si="18"/>
        <v>48.5</v>
      </c>
      <c r="I368" s="507">
        <f t="shared" si="17"/>
        <v>48.5</v>
      </c>
      <c r="J368" s="508">
        <f t="shared" si="17"/>
        <v>48.5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2.75">
      <c r="A369" s="9"/>
      <c r="B369" s="9"/>
      <c r="C369" s="9"/>
      <c r="D369" s="9"/>
      <c r="E369" s="9"/>
      <c r="F369" s="9"/>
      <c r="G369" s="506">
        <f t="shared" si="16"/>
        <v>19</v>
      </c>
      <c r="H369" s="507">
        <f t="shared" si="18"/>
        <v>49</v>
      </c>
      <c r="I369" s="507">
        <f t="shared" si="17"/>
        <v>49</v>
      </c>
      <c r="J369" s="508">
        <f t="shared" si="17"/>
        <v>49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2.75">
      <c r="A370" s="9"/>
      <c r="B370" s="9"/>
      <c r="C370" s="9"/>
      <c r="D370" s="9"/>
      <c r="E370" s="9"/>
      <c r="F370" s="9"/>
      <c r="G370" s="506">
        <f t="shared" si="16"/>
        <v>20</v>
      </c>
      <c r="H370" s="507">
        <f t="shared" si="18"/>
        <v>49.5</v>
      </c>
      <c r="I370" s="507">
        <f t="shared" si="17"/>
        <v>49.5</v>
      </c>
      <c r="J370" s="508">
        <f t="shared" si="17"/>
        <v>49.5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2.75">
      <c r="A371" s="9"/>
      <c r="B371" s="9"/>
      <c r="C371" s="9"/>
      <c r="D371" s="9"/>
      <c r="E371" s="9"/>
      <c r="F371" s="9"/>
      <c r="G371" s="506">
        <f t="shared" si="16"/>
        <v>21</v>
      </c>
      <c r="H371" s="507">
        <f t="shared" si="18"/>
        <v>50</v>
      </c>
      <c r="I371" s="507">
        <f t="shared" si="17"/>
        <v>50</v>
      </c>
      <c r="J371" s="508">
        <f t="shared" si="17"/>
        <v>50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2.75">
      <c r="A372" s="9"/>
      <c r="B372" s="9"/>
      <c r="C372" s="9"/>
      <c r="D372" s="9"/>
      <c r="E372" s="9"/>
      <c r="F372" s="9"/>
      <c r="G372" s="506">
        <f t="shared" si="16"/>
        <v>22</v>
      </c>
      <c r="H372" s="507">
        <f t="shared" si="18"/>
        <v>50.5</v>
      </c>
      <c r="I372" s="507">
        <f t="shared" si="17"/>
        <v>50.5</v>
      </c>
      <c r="J372" s="508">
        <f t="shared" si="17"/>
        <v>50.5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2.75">
      <c r="A373" s="9"/>
      <c r="B373" s="9"/>
      <c r="C373" s="9"/>
      <c r="D373" s="9"/>
      <c r="E373" s="9"/>
      <c r="F373" s="9"/>
      <c r="G373" s="506">
        <f t="shared" si="16"/>
        <v>23</v>
      </c>
      <c r="H373" s="507">
        <f t="shared" si="18"/>
        <v>51</v>
      </c>
      <c r="I373" s="507">
        <f t="shared" si="17"/>
        <v>51</v>
      </c>
      <c r="J373" s="508">
        <f t="shared" si="17"/>
        <v>51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2.75">
      <c r="A374" s="9"/>
      <c r="B374" s="9"/>
      <c r="C374" s="9"/>
      <c r="D374" s="9"/>
      <c r="E374" s="9"/>
      <c r="F374" s="9"/>
      <c r="G374" s="506">
        <f t="shared" si="16"/>
        <v>24</v>
      </c>
      <c r="H374" s="507">
        <f t="shared" si="18"/>
        <v>51.5</v>
      </c>
      <c r="I374" s="507">
        <f t="shared" si="17"/>
        <v>51.5</v>
      </c>
      <c r="J374" s="508">
        <f t="shared" si="17"/>
        <v>51.5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2.75">
      <c r="A375" s="9"/>
      <c r="B375" s="9"/>
      <c r="C375" s="9"/>
      <c r="D375" s="9"/>
      <c r="E375" s="9"/>
      <c r="F375" s="9"/>
      <c r="G375" s="506">
        <f t="shared" si="16"/>
        <v>25</v>
      </c>
      <c r="H375" s="507">
        <f t="shared" si="18"/>
        <v>52</v>
      </c>
      <c r="I375" s="507">
        <f t="shared" si="17"/>
        <v>52</v>
      </c>
      <c r="J375" s="508">
        <f t="shared" si="17"/>
        <v>52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2.75">
      <c r="A376" s="9"/>
      <c r="B376" s="9"/>
      <c r="C376" s="9"/>
      <c r="D376" s="9"/>
      <c r="E376" s="9"/>
      <c r="F376" s="9"/>
      <c r="G376" s="506">
        <f t="shared" si="16"/>
        <v>26</v>
      </c>
      <c r="H376" s="507">
        <f t="shared" si="18"/>
        <v>52.5</v>
      </c>
      <c r="I376" s="507">
        <f t="shared" si="17"/>
        <v>52.5</v>
      </c>
      <c r="J376" s="508">
        <f t="shared" si="17"/>
        <v>52.5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2.75">
      <c r="A377" s="9"/>
      <c r="B377" s="9"/>
      <c r="C377" s="9"/>
      <c r="D377" s="9"/>
      <c r="E377" s="9"/>
      <c r="F377" s="9"/>
      <c r="G377" s="506">
        <f t="shared" si="16"/>
        <v>27</v>
      </c>
      <c r="H377" s="507">
        <f t="shared" si="18"/>
        <v>53</v>
      </c>
      <c r="I377" s="507">
        <f t="shared" si="17"/>
        <v>53</v>
      </c>
      <c r="J377" s="508">
        <f t="shared" si="17"/>
        <v>53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2.75">
      <c r="A378" s="9"/>
      <c r="B378" s="9"/>
      <c r="C378" s="9"/>
      <c r="D378" s="9"/>
      <c r="E378" s="9"/>
      <c r="F378" s="9"/>
      <c r="G378" s="506">
        <f t="shared" si="16"/>
        <v>28</v>
      </c>
      <c r="H378" s="507">
        <f t="shared" si="18"/>
        <v>53.5</v>
      </c>
      <c r="I378" s="507">
        <f t="shared" si="17"/>
        <v>53.5</v>
      </c>
      <c r="J378" s="508">
        <f t="shared" si="17"/>
        <v>53.5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2.75">
      <c r="A379" s="9"/>
      <c r="B379" s="9"/>
      <c r="C379" s="9"/>
      <c r="D379" s="9"/>
      <c r="E379" s="9"/>
      <c r="F379" s="9"/>
      <c r="G379" s="506">
        <f t="shared" si="16"/>
        <v>29</v>
      </c>
      <c r="H379" s="507">
        <f t="shared" si="18"/>
        <v>54</v>
      </c>
      <c r="I379" s="507">
        <f t="shared" si="17"/>
        <v>54</v>
      </c>
      <c r="J379" s="508">
        <f t="shared" si="17"/>
        <v>54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2.75">
      <c r="A380" s="9"/>
      <c r="B380" s="9"/>
      <c r="C380" s="9"/>
      <c r="D380" s="9"/>
      <c r="E380" s="9"/>
      <c r="F380" s="9"/>
      <c r="G380" s="506">
        <f t="shared" si="16"/>
        <v>30</v>
      </c>
      <c r="H380" s="507">
        <f t="shared" si="18"/>
        <v>54.5</v>
      </c>
      <c r="I380" s="507">
        <f t="shared" si="17"/>
        <v>54.5</v>
      </c>
      <c r="J380" s="508">
        <f t="shared" si="17"/>
        <v>54.5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2.75">
      <c r="A381" s="9"/>
      <c r="B381" s="9"/>
      <c r="C381" s="9"/>
      <c r="D381" s="9"/>
      <c r="E381" s="9"/>
      <c r="F381" s="9"/>
      <c r="G381" s="506">
        <f t="shared" si="16"/>
        <v>31</v>
      </c>
      <c r="H381" s="507">
        <f t="shared" si="18"/>
        <v>55</v>
      </c>
      <c r="I381" s="507">
        <f t="shared" si="17"/>
        <v>55</v>
      </c>
      <c r="J381" s="508">
        <f t="shared" si="17"/>
        <v>55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2.75">
      <c r="A382" s="9"/>
      <c r="B382" s="9"/>
      <c r="C382" s="9"/>
      <c r="D382" s="9"/>
      <c r="E382" s="9"/>
      <c r="F382" s="9"/>
      <c r="G382" s="506">
        <f t="shared" si="16"/>
        <v>32</v>
      </c>
      <c r="H382" s="507">
        <f t="shared" si="18"/>
        <v>55.5</v>
      </c>
      <c r="I382" s="507">
        <f t="shared" si="17"/>
        <v>55.5</v>
      </c>
      <c r="J382" s="508">
        <f t="shared" si="17"/>
        <v>55.5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2.75">
      <c r="A383" s="9"/>
      <c r="B383" s="9"/>
      <c r="C383" s="9"/>
      <c r="D383" s="9"/>
      <c r="E383" s="9"/>
      <c r="F383" s="9"/>
      <c r="G383" s="506">
        <f t="shared" si="16"/>
        <v>33</v>
      </c>
      <c r="H383" s="507">
        <f t="shared" si="18"/>
        <v>56</v>
      </c>
      <c r="I383" s="507">
        <f t="shared" si="17"/>
        <v>56</v>
      </c>
      <c r="J383" s="508">
        <f t="shared" si="17"/>
        <v>56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2.75">
      <c r="A384" s="9"/>
      <c r="B384" s="9"/>
      <c r="C384" s="9"/>
      <c r="D384" s="9"/>
      <c r="E384" s="9"/>
      <c r="F384" s="9"/>
      <c r="G384" s="506">
        <f t="shared" si="16"/>
        <v>34</v>
      </c>
      <c r="H384" s="507">
        <f t="shared" si="18"/>
        <v>56.5</v>
      </c>
      <c r="I384" s="507">
        <f aca="true" t="shared" si="19" ref="I384:J415">H384</f>
        <v>56.5</v>
      </c>
      <c r="J384" s="508">
        <f t="shared" si="19"/>
        <v>56.5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2.75">
      <c r="A385" s="9"/>
      <c r="B385" s="9"/>
      <c r="C385" s="9"/>
      <c r="D385" s="9"/>
      <c r="E385" s="9"/>
      <c r="F385" s="9"/>
      <c r="G385" s="506">
        <f t="shared" si="16"/>
        <v>35</v>
      </c>
      <c r="H385" s="507">
        <f t="shared" si="18"/>
        <v>57</v>
      </c>
      <c r="I385" s="507">
        <f t="shared" si="19"/>
        <v>57</v>
      </c>
      <c r="J385" s="508">
        <f t="shared" si="19"/>
        <v>57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2.75">
      <c r="A386" s="9"/>
      <c r="B386" s="9"/>
      <c r="C386" s="9"/>
      <c r="D386" s="9"/>
      <c r="E386" s="9"/>
      <c r="F386" s="9"/>
      <c r="G386" s="506">
        <f t="shared" si="16"/>
        <v>36</v>
      </c>
      <c r="H386" s="507">
        <f t="shared" si="18"/>
        <v>57.5</v>
      </c>
      <c r="I386" s="507">
        <f t="shared" si="19"/>
        <v>57.5</v>
      </c>
      <c r="J386" s="508">
        <f t="shared" si="19"/>
        <v>57.5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2.75">
      <c r="A387" s="9"/>
      <c r="B387" s="9"/>
      <c r="C387" s="9"/>
      <c r="D387" s="9"/>
      <c r="E387" s="9"/>
      <c r="F387" s="9"/>
      <c r="G387" s="506">
        <f t="shared" si="16"/>
        <v>37</v>
      </c>
      <c r="H387" s="507">
        <f t="shared" si="18"/>
        <v>58</v>
      </c>
      <c r="I387" s="507">
        <f t="shared" si="19"/>
        <v>58</v>
      </c>
      <c r="J387" s="508">
        <f t="shared" si="19"/>
        <v>58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2.75">
      <c r="A388" s="9"/>
      <c r="B388" s="9"/>
      <c r="C388" s="9"/>
      <c r="D388" s="9"/>
      <c r="E388" s="9"/>
      <c r="F388" s="9"/>
      <c r="G388" s="506">
        <f t="shared" si="16"/>
        <v>38</v>
      </c>
      <c r="H388" s="507">
        <f t="shared" si="18"/>
        <v>58.5</v>
      </c>
      <c r="I388" s="507">
        <f t="shared" si="19"/>
        <v>58.5</v>
      </c>
      <c r="J388" s="508">
        <f t="shared" si="19"/>
        <v>58.5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2.75">
      <c r="A389" s="9"/>
      <c r="B389" s="9"/>
      <c r="C389" s="9"/>
      <c r="D389" s="9"/>
      <c r="E389" s="9"/>
      <c r="F389" s="9"/>
      <c r="G389" s="506">
        <f t="shared" si="16"/>
        <v>39</v>
      </c>
      <c r="H389" s="507">
        <f t="shared" si="18"/>
        <v>59</v>
      </c>
      <c r="I389" s="507">
        <f t="shared" si="19"/>
        <v>59</v>
      </c>
      <c r="J389" s="508">
        <f t="shared" si="19"/>
        <v>59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2.75">
      <c r="A390" s="9"/>
      <c r="B390" s="9"/>
      <c r="C390" s="9"/>
      <c r="D390" s="9"/>
      <c r="E390" s="9"/>
      <c r="F390" s="9"/>
      <c r="G390" s="506">
        <f t="shared" si="16"/>
        <v>40</v>
      </c>
      <c r="H390" s="507">
        <f t="shared" si="18"/>
        <v>59.5</v>
      </c>
      <c r="I390" s="507">
        <f t="shared" si="19"/>
        <v>59.5</v>
      </c>
      <c r="J390" s="508">
        <f t="shared" si="19"/>
        <v>59.5</v>
      </c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2.75">
      <c r="A391" s="9"/>
      <c r="B391" s="9"/>
      <c r="C391" s="9"/>
      <c r="D391" s="9"/>
      <c r="E391" s="9"/>
      <c r="F391" s="9"/>
      <c r="G391" s="506">
        <f t="shared" si="16"/>
        <v>41</v>
      </c>
      <c r="H391" s="507">
        <f t="shared" si="18"/>
        <v>60</v>
      </c>
      <c r="I391" s="507">
        <f t="shared" si="19"/>
        <v>60</v>
      </c>
      <c r="J391" s="508">
        <f t="shared" si="19"/>
        <v>60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2.75">
      <c r="A392" s="9"/>
      <c r="B392" s="9"/>
      <c r="C392" s="9"/>
      <c r="D392" s="9"/>
      <c r="E392" s="9"/>
      <c r="F392" s="9"/>
      <c r="G392" s="506">
        <f t="shared" si="16"/>
        <v>42</v>
      </c>
      <c r="H392" s="507">
        <f t="shared" si="18"/>
        <v>60.5</v>
      </c>
      <c r="I392" s="507">
        <f t="shared" si="19"/>
        <v>60.5</v>
      </c>
      <c r="J392" s="508">
        <f t="shared" si="19"/>
        <v>60.5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2.75">
      <c r="A393" s="9"/>
      <c r="B393" s="9"/>
      <c r="C393" s="9"/>
      <c r="D393" s="9"/>
      <c r="E393" s="9"/>
      <c r="F393" s="9"/>
      <c r="G393" s="506">
        <f t="shared" si="16"/>
        <v>43</v>
      </c>
      <c r="H393" s="507">
        <f t="shared" si="18"/>
        <v>61</v>
      </c>
      <c r="I393" s="507">
        <f t="shared" si="19"/>
        <v>61</v>
      </c>
      <c r="J393" s="508">
        <f t="shared" si="19"/>
        <v>61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2.75">
      <c r="A394" s="9"/>
      <c r="B394" s="9"/>
      <c r="C394" s="9"/>
      <c r="D394" s="9"/>
      <c r="E394" s="9"/>
      <c r="F394" s="9"/>
      <c r="G394" s="506">
        <f t="shared" si="16"/>
        <v>44</v>
      </c>
      <c r="H394" s="507">
        <f t="shared" si="18"/>
        <v>61.5</v>
      </c>
      <c r="I394" s="507">
        <f t="shared" si="19"/>
        <v>61.5</v>
      </c>
      <c r="J394" s="508">
        <f t="shared" si="19"/>
        <v>61.5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2.75">
      <c r="A395" s="9"/>
      <c r="B395" s="9"/>
      <c r="C395" s="9"/>
      <c r="D395" s="9"/>
      <c r="E395" s="9"/>
      <c r="F395" s="9"/>
      <c r="G395" s="506">
        <f t="shared" si="16"/>
        <v>45</v>
      </c>
      <c r="H395" s="507">
        <f t="shared" si="18"/>
        <v>62</v>
      </c>
      <c r="I395" s="507">
        <f t="shared" si="19"/>
        <v>62</v>
      </c>
      <c r="J395" s="508">
        <f t="shared" si="19"/>
        <v>62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2.75">
      <c r="A396" s="9"/>
      <c r="B396" s="9"/>
      <c r="C396" s="9"/>
      <c r="D396" s="9"/>
      <c r="E396" s="9"/>
      <c r="F396" s="9"/>
      <c r="G396" s="506">
        <f t="shared" si="16"/>
        <v>46</v>
      </c>
      <c r="H396" s="507">
        <f t="shared" si="18"/>
        <v>62.5</v>
      </c>
      <c r="I396" s="507">
        <f t="shared" si="19"/>
        <v>62.5</v>
      </c>
      <c r="J396" s="508">
        <f t="shared" si="19"/>
        <v>62.5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2.75">
      <c r="A397" s="9"/>
      <c r="B397" s="9"/>
      <c r="C397" s="9"/>
      <c r="D397" s="9"/>
      <c r="E397" s="9"/>
      <c r="F397" s="9"/>
      <c r="G397" s="506">
        <f t="shared" si="16"/>
        <v>47</v>
      </c>
      <c r="H397" s="507">
        <f t="shared" si="18"/>
        <v>63</v>
      </c>
      <c r="I397" s="507">
        <f t="shared" si="19"/>
        <v>63</v>
      </c>
      <c r="J397" s="508">
        <f t="shared" si="19"/>
        <v>63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2.75">
      <c r="A398" s="9"/>
      <c r="B398" s="9"/>
      <c r="C398" s="9"/>
      <c r="D398" s="9"/>
      <c r="E398" s="9"/>
      <c r="F398" s="9"/>
      <c r="G398" s="506">
        <f t="shared" si="16"/>
        <v>48</v>
      </c>
      <c r="H398" s="507">
        <f t="shared" si="18"/>
        <v>63.5</v>
      </c>
      <c r="I398" s="507">
        <f t="shared" si="19"/>
        <v>63.5</v>
      </c>
      <c r="J398" s="508">
        <f t="shared" si="19"/>
        <v>63.5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2.75">
      <c r="A399" s="9"/>
      <c r="B399" s="9"/>
      <c r="C399" s="9"/>
      <c r="D399" s="9"/>
      <c r="E399" s="9"/>
      <c r="F399" s="9"/>
      <c r="G399" s="506">
        <f t="shared" si="16"/>
        <v>49</v>
      </c>
      <c r="H399" s="507">
        <f t="shared" si="18"/>
        <v>64</v>
      </c>
      <c r="I399" s="507">
        <f t="shared" si="19"/>
        <v>64</v>
      </c>
      <c r="J399" s="508">
        <f t="shared" si="19"/>
        <v>64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2.75">
      <c r="A400" s="9"/>
      <c r="B400" s="9"/>
      <c r="C400" s="9"/>
      <c r="D400" s="9"/>
      <c r="E400" s="9"/>
      <c r="F400" s="9"/>
      <c r="G400" s="506">
        <f t="shared" si="16"/>
        <v>50</v>
      </c>
      <c r="H400" s="507">
        <f t="shared" si="18"/>
        <v>64.5</v>
      </c>
      <c r="I400" s="507">
        <f t="shared" si="19"/>
        <v>64.5</v>
      </c>
      <c r="J400" s="508">
        <f t="shared" si="19"/>
        <v>64.5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2.75">
      <c r="A401" s="9"/>
      <c r="B401" s="9"/>
      <c r="C401" s="9"/>
      <c r="D401" s="9"/>
      <c r="E401" s="9"/>
      <c r="F401" s="9"/>
      <c r="G401" s="506">
        <f t="shared" si="16"/>
        <v>51</v>
      </c>
      <c r="H401" s="507">
        <f t="shared" si="18"/>
        <v>65</v>
      </c>
      <c r="I401" s="507">
        <f t="shared" si="19"/>
        <v>65</v>
      </c>
      <c r="J401" s="508">
        <f t="shared" si="19"/>
        <v>65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2.75">
      <c r="A402" s="9"/>
      <c r="B402" s="9"/>
      <c r="C402" s="9"/>
      <c r="D402" s="9"/>
      <c r="E402" s="9"/>
      <c r="F402" s="9"/>
      <c r="G402" s="506">
        <f t="shared" si="16"/>
        <v>52</v>
      </c>
      <c r="H402" s="507">
        <f t="shared" si="18"/>
        <v>65.5</v>
      </c>
      <c r="I402" s="507">
        <f t="shared" si="19"/>
        <v>65.5</v>
      </c>
      <c r="J402" s="508">
        <f t="shared" si="19"/>
        <v>65.5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2.75">
      <c r="A403" s="9"/>
      <c r="B403" s="9"/>
      <c r="C403" s="9"/>
      <c r="D403" s="9"/>
      <c r="E403" s="9"/>
      <c r="F403" s="9"/>
      <c r="G403" s="506">
        <f t="shared" si="16"/>
        <v>53</v>
      </c>
      <c r="H403" s="507">
        <f t="shared" si="18"/>
        <v>66</v>
      </c>
      <c r="I403" s="507">
        <f t="shared" si="19"/>
        <v>66</v>
      </c>
      <c r="J403" s="508">
        <f t="shared" si="19"/>
        <v>66</v>
      </c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2.75">
      <c r="A404" s="9"/>
      <c r="B404" s="9"/>
      <c r="C404" s="9"/>
      <c r="D404" s="9"/>
      <c r="E404" s="9"/>
      <c r="F404" s="9"/>
      <c r="G404" s="506">
        <f t="shared" si="16"/>
        <v>54</v>
      </c>
      <c r="H404" s="507">
        <f t="shared" si="18"/>
        <v>66.5</v>
      </c>
      <c r="I404" s="507">
        <f t="shared" si="19"/>
        <v>66.5</v>
      </c>
      <c r="J404" s="508">
        <f t="shared" si="19"/>
        <v>66.5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2.75">
      <c r="A405" s="9"/>
      <c r="B405" s="9"/>
      <c r="C405" s="9"/>
      <c r="D405" s="9"/>
      <c r="E405" s="9"/>
      <c r="F405" s="9"/>
      <c r="G405" s="506">
        <f t="shared" si="16"/>
        <v>55</v>
      </c>
      <c r="H405" s="507">
        <f t="shared" si="18"/>
        <v>67</v>
      </c>
      <c r="I405" s="507">
        <f t="shared" si="19"/>
        <v>67</v>
      </c>
      <c r="J405" s="508">
        <f t="shared" si="19"/>
        <v>67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2.75">
      <c r="A406" s="9"/>
      <c r="B406" s="9"/>
      <c r="C406" s="9"/>
      <c r="D406" s="9"/>
      <c r="E406" s="9"/>
      <c r="F406" s="9"/>
      <c r="G406" s="506">
        <f t="shared" si="16"/>
        <v>56</v>
      </c>
      <c r="H406" s="507">
        <f t="shared" si="18"/>
        <v>67.5</v>
      </c>
      <c r="I406" s="507">
        <f t="shared" si="19"/>
        <v>67.5</v>
      </c>
      <c r="J406" s="508">
        <f t="shared" si="19"/>
        <v>67.5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2.75">
      <c r="A407" s="9"/>
      <c r="B407" s="9"/>
      <c r="C407" s="9"/>
      <c r="D407" s="9"/>
      <c r="E407" s="9"/>
      <c r="F407" s="9"/>
      <c r="G407" s="506">
        <f t="shared" si="16"/>
        <v>57</v>
      </c>
      <c r="H407" s="507">
        <f t="shared" si="18"/>
        <v>68</v>
      </c>
      <c r="I407" s="507">
        <f t="shared" si="19"/>
        <v>68</v>
      </c>
      <c r="J407" s="508">
        <f t="shared" si="19"/>
        <v>68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2.75">
      <c r="A408" s="9"/>
      <c r="B408" s="9"/>
      <c r="C408" s="9"/>
      <c r="D408" s="9"/>
      <c r="E408" s="9"/>
      <c r="F408" s="9"/>
      <c r="G408" s="506">
        <f t="shared" si="16"/>
        <v>58</v>
      </c>
      <c r="H408" s="507">
        <f t="shared" si="18"/>
        <v>68.5</v>
      </c>
      <c r="I408" s="507">
        <f t="shared" si="19"/>
        <v>68.5</v>
      </c>
      <c r="J408" s="508">
        <f t="shared" si="19"/>
        <v>68.5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2.75">
      <c r="A409" s="9"/>
      <c r="B409" s="9"/>
      <c r="C409" s="9"/>
      <c r="D409" s="9"/>
      <c r="E409" s="9"/>
      <c r="F409" s="9"/>
      <c r="G409" s="506">
        <f t="shared" si="16"/>
        <v>59</v>
      </c>
      <c r="H409" s="507">
        <f t="shared" si="18"/>
        <v>69</v>
      </c>
      <c r="I409" s="507">
        <f t="shared" si="19"/>
        <v>69</v>
      </c>
      <c r="J409" s="508">
        <f t="shared" si="19"/>
        <v>69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2.75">
      <c r="A410" s="9"/>
      <c r="B410" s="9"/>
      <c r="C410" s="9"/>
      <c r="D410" s="9"/>
      <c r="E410" s="9"/>
      <c r="F410" s="9"/>
      <c r="G410" s="506">
        <f t="shared" si="16"/>
        <v>60</v>
      </c>
      <c r="H410" s="507">
        <f t="shared" si="18"/>
        <v>69.5</v>
      </c>
      <c r="I410" s="507">
        <f t="shared" si="19"/>
        <v>69.5</v>
      </c>
      <c r="J410" s="508">
        <f t="shared" si="19"/>
        <v>69.5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2.75">
      <c r="A411" s="9"/>
      <c r="B411" s="9"/>
      <c r="C411" s="9"/>
      <c r="D411" s="9"/>
      <c r="E411" s="9"/>
      <c r="F411" s="9"/>
      <c r="G411" s="506">
        <f t="shared" si="16"/>
        <v>61</v>
      </c>
      <c r="H411" s="507">
        <f t="shared" si="18"/>
        <v>70</v>
      </c>
      <c r="I411" s="507">
        <f t="shared" si="19"/>
        <v>70</v>
      </c>
      <c r="J411" s="508">
        <f t="shared" si="19"/>
        <v>70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2.75">
      <c r="A412" s="9"/>
      <c r="B412" s="9"/>
      <c r="C412" s="9"/>
      <c r="D412" s="9"/>
      <c r="E412" s="9"/>
      <c r="F412" s="9"/>
      <c r="G412" s="506">
        <f t="shared" si="16"/>
        <v>62</v>
      </c>
      <c r="H412" s="507">
        <f t="shared" si="18"/>
        <v>70.5</v>
      </c>
      <c r="I412" s="507">
        <f t="shared" si="19"/>
        <v>70.5</v>
      </c>
      <c r="J412" s="508">
        <f t="shared" si="19"/>
        <v>70.5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2.75">
      <c r="A413" s="9"/>
      <c r="B413" s="9"/>
      <c r="C413" s="9"/>
      <c r="D413" s="9"/>
      <c r="E413" s="9"/>
      <c r="F413" s="9"/>
      <c r="G413" s="506">
        <f t="shared" si="16"/>
        <v>63</v>
      </c>
      <c r="H413" s="507">
        <f t="shared" si="18"/>
        <v>71</v>
      </c>
      <c r="I413" s="507">
        <f t="shared" si="19"/>
        <v>71</v>
      </c>
      <c r="J413" s="508">
        <f t="shared" si="19"/>
        <v>71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2.75">
      <c r="A414" s="9"/>
      <c r="B414" s="9"/>
      <c r="C414" s="9"/>
      <c r="D414" s="9"/>
      <c r="E414" s="9"/>
      <c r="F414" s="9"/>
      <c r="G414" s="506">
        <f t="shared" si="16"/>
        <v>64</v>
      </c>
      <c r="H414" s="507">
        <f t="shared" si="18"/>
        <v>71.5</v>
      </c>
      <c r="I414" s="507">
        <f t="shared" si="19"/>
        <v>71.5</v>
      </c>
      <c r="J414" s="508">
        <f t="shared" si="19"/>
        <v>71.5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2.75">
      <c r="A415" s="9"/>
      <c r="B415" s="9"/>
      <c r="C415" s="9"/>
      <c r="D415" s="9"/>
      <c r="E415" s="9"/>
      <c r="F415" s="9"/>
      <c r="G415" s="506">
        <f t="shared" si="16"/>
        <v>65</v>
      </c>
      <c r="H415" s="507">
        <f t="shared" si="18"/>
        <v>72</v>
      </c>
      <c r="I415" s="507">
        <f t="shared" si="19"/>
        <v>72</v>
      </c>
      <c r="J415" s="508">
        <f t="shared" si="19"/>
        <v>72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2.75">
      <c r="A416" s="9"/>
      <c r="B416" s="9"/>
      <c r="C416" s="9"/>
      <c r="D416" s="9"/>
      <c r="E416" s="9"/>
      <c r="F416" s="9"/>
      <c r="G416" s="506">
        <f>+G415+1</f>
        <v>66</v>
      </c>
      <c r="H416" s="507">
        <f t="shared" si="18"/>
        <v>72.5</v>
      </c>
      <c r="I416" s="507">
        <f aca="true" t="shared" si="20" ref="I416:J420">H416</f>
        <v>72.5</v>
      </c>
      <c r="J416" s="508">
        <f t="shared" si="20"/>
        <v>72.5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2.75">
      <c r="A417" s="9"/>
      <c r="B417" s="9"/>
      <c r="C417" s="9"/>
      <c r="D417" s="9"/>
      <c r="E417" s="9"/>
      <c r="F417" s="9"/>
      <c r="G417" s="506">
        <f>+G416+1</f>
        <v>67</v>
      </c>
      <c r="H417" s="507">
        <f>0.5+H416</f>
        <v>73</v>
      </c>
      <c r="I417" s="507">
        <f t="shared" si="20"/>
        <v>73</v>
      </c>
      <c r="J417" s="508">
        <f t="shared" si="20"/>
        <v>73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2.75">
      <c r="A418" s="9"/>
      <c r="B418" s="9"/>
      <c r="C418" s="9"/>
      <c r="D418" s="9"/>
      <c r="E418" s="9"/>
      <c r="F418" s="9"/>
      <c r="G418" s="506">
        <f>+G417+1</f>
        <v>68</v>
      </c>
      <c r="H418" s="507">
        <f>0.5+H417</f>
        <v>73.5</v>
      </c>
      <c r="I418" s="507">
        <f t="shared" si="20"/>
        <v>73.5</v>
      </c>
      <c r="J418" s="508">
        <f t="shared" si="20"/>
        <v>73.5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2.75">
      <c r="A419" s="9"/>
      <c r="B419" s="9"/>
      <c r="C419" s="9"/>
      <c r="D419" s="9"/>
      <c r="E419" s="9"/>
      <c r="F419" s="9"/>
      <c r="G419" s="506">
        <f>+G418+1</f>
        <v>69</v>
      </c>
      <c r="H419" s="507">
        <f>0.5+H418</f>
        <v>74</v>
      </c>
      <c r="I419" s="507">
        <f t="shared" si="20"/>
        <v>74</v>
      </c>
      <c r="J419" s="508">
        <f t="shared" si="20"/>
        <v>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2.75">
      <c r="A420" s="9"/>
      <c r="B420" s="9"/>
      <c r="C420" s="9"/>
      <c r="D420" s="9"/>
      <c r="E420" s="9"/>
      <c r="F420" s="9"/>
      <c r="G420" s="509">
        <f>+G419+1</f>
        <v>70</v>
      </c>
      <c r="H420" s="510">
        <f>0.5+H419</f>
        <v>74.5</v>
      </c>
      <c r="I420" s="510">
        <f t="shared" si="20"/>
        <v>74.5</v>
      </c>
      <c r="J420" s="511">
        <f t="shared" si="20"/>
        <v>74.5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2.75">
      <c r="A421" s="9"/>
      <c r="B421" s="9"/>
      <c r="C421" s="9"/>
      <c r="D421" s="9"/>
      <c r="E421" s="9"/>
      <c r="F421" s="9"/>
      <c r="G421" s="512"/>
      <c r="H421" s="512"/>
      <c r="I421" s="512"/>
      <c r="J421" s="5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</sheetData>
  <sheetProtection selectLockedCells="1"/>
  <mergeCells count="89">
    <mergeCell ref="S105:X105"/>
    <mergeCell ref="S106:X106"/>
    <mergeCell ref="S107:T107"/>
    <mergeCell ref="U107:V107"/>
    <mergeCell ref="W107:X107"/>
    <mergeCell ref="C245:J245"/>
    <mergeCell ref="R245:U245"/>
    <mergeCell ref="C244:J244"/>
    <mergeCell ref="R244:U244"/>
    <mergeCell ref="B225:D225"/>
    <mergeCell ref="E224:F224"/>
    <mergeCell ref="E225:F225"/>
    <mergeCell ref="E226:F226"/>
    <mergeCell ref="G261:J261"/>
    <mergeCell ref="H214:I214"/>
    <mergeCell ref="C289:F289"/>
    <mergeCell ref="C259:F259"/>
    <mergeCell ref="G259:J259"/>
    <mergeCell ref="C260:F260"/>
    <mergeCell ref="G260:J260"/>
    <mergeCell ref="C261:F261"/>
    <mergeCell ref="C214:D214"/>
    <mergeCell ref="E214:F214"/>
    <mergeCell ref="H215:I215"/>
    <mergeCell ref="A194:B196"/>
    <mergeCell ref="C146:D146"/>
    <mergeCell ref="F126:H126"/>
    <mergeCell ref="C215:D215"/>
    <mergeCell ref="E215:F215"/>
    <mergeCell ref="C213:D213"/>
    <mergeCell ref="E213:F213"/>
    <mergeCell ref="H213:I213"/>
    <mergeCell ref="C147:D147"/>
    <mergeCell ref="C164:F164"/>
    <mergeCell ref="C106:J106"/>
    <mergeCell ref="C212:D212"/>
    <mergeCell ref="H212:I212"/>
    <mergeCell ref="I59:J59"/>
    <mergeCell ref="C105:J105"/>
    <mergeCell ref="B63:E63"/>
    <mergeCell ref="F63:I63"/>
    <mergeCell ref="B79:I79"/>
    <mergeCell ref="C165:F165"/>
    <mergeCell ref="B80:I80"/>
    <mergeCell ref="F92:G92"/>
    <mergeCell ref="B64:E64"/>
    <mergeCell ref="F64:I64"/>
    <mergeCell ref="A3:B3"/>
    <mergeCell ref="C3:E3"/>
    <mergeCell ref="A4:B4"/>
    <mergeCell ref="C4:E4"/>
    <mergeCell ref="C50:K50"/>
    <mergeCell ref="I58:J58"/>
    <mergeCell ref="B18:C18"/>
    <mergeCell ref="A19:B19"/>
    <mergeCell ref="P149:R149"/>
    <mergeCell ref="A20:B20"/>
    <mergeCell ref="A21:B21"/>
    <mergeCell ref="A22:B22"/>
    <mergeCell ref="B62:E62"/>
    <mergeCell ref="F62:I62"/>
    <mergeCell ref="C48:K48"/>
    <mergeCell ref="P146:R146"/>
    <mergeCell ref="P147:R147"/>
    <mergeCell ref="P148:R148"/>
    <mergeCell ref="G348:J350"/>
    <mergeCell ref="L228:L229"/>
    <mergeCell ref="M228:O228"/>
    <mergeCell ref="K164:L164"/>
    <mergeCell ref="R246:S246"/>
    <mergeCell ref="C246:J246"/>
    <mergeCell ref="E227:F227"/>
    <mergeCell ref="K165:L165"/>
    <mergeCell ref="Y191:Z191"/>
    <mergeCell ref="M164:N164"/>
    <mergeCell ref="M165:N165"/>
    <mergeCell ref="V190:X190"/>
    <mergeCell ref="Y190:Z190"/>
    <mergeCell ref="Y189:Z189"/>
    <mergeCell ref="AA190:AB190"/>
    <mergeCell ref="AA189:AB189"/>
    <mergeCell ref="L287:M287"/>
    <mergeCell ref="N288:O288"/>
    <mergeCell ref="N287:O287"/>
    <mergeCell ref="S287:AF287"/>
    <mergeCell ref="T247:U247"/>
    <mergeCell ref="R247:S247"/>
    <mergeCell ref="AA191:AB191"/>
    <mergeCell ref="T246:U246"/>
  </mergeCells>
  <printOptions/>
  <pageMargins left="0.79" right="0.79" top="0.98" bottom="0.98" header="0" footer="0"/>
  <pageSetup horizontalDpi="180" verticalDpi="18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Genuine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Diseño de Mezcla</dc:title>
  <dc:subject>Laboratorio</dc:subject>
  <dc:creator>Jony Gutiérrez A.</dc:creator>
  <cp:keywords/>
  <dc:description>Programa para diseño de mezcla de Concreto hasta 400 Kg/cm2 de resistencia.</dc:description>
  <cp:lastModifiedBy>JONY</cp:lastModifiedBy>
  <cp:lastPrinted>2010-02-07T14:55:53Z</cp:lastPrinted>
  <dcterms:created xsi:type="dcterms:W3CDTF">2001-06-07T12:47:11Z</dcterms:created>
  <dcterms:modified xsi:type="dcterms:W3CDTF">2011-10-10T00:43:11Z</dcterms:modified>
  <cp:category>Concrete Programs</cp:category>
  <cp:version/>
  <cp:contentType/>
  <cp:contentStatus/>
</cp:coreProperties>
</file>